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5" i="7" l="1"/>
  <c r="P72" i="7"/>
  <c r="P67" i="7"/>
  <c r="P66" i="7"/>
  <c r="O57" i="7"/>
  <c r="O58" i="7"/>
  <c r="P54" i="7"/>
  <c r="P53" i="7"/>
  <c r="O53" i="7"/>
  <c r="O54" i="7"/>
  <c r="P50" i="7"/>
  <c r="P41" i="7"/>
  <c r="P40" i="7"/>
  <c r="O40" i="7"/>
  <c r="O38" i="7"/>
  <c r="P34" i="7"/>
  <c r="P37" i="7"/>
  <c r="P36" i="7"/>
  <c r="O32" i="7"/>
  <c r="O31" i="7"/>
  <c r="P31" i="7"/>
  <c r="O24" i="7"/>
  <c r="O16" i="7"/>
  <c r="O17" i="7"/>
  <c r="P16" i="7"/>
  <c r="O23" i="7"/>
  <c r="P23" i="7"/>
  <c r="P12" i="7"/>
  <c r="P13" i="7"/>
  <c r="O12" i="7"/>
  <c r="O73" i="7" l="1"/>
  <c r="O63" i="7"/>
  <c r="P57" i="7"/>
  <c r="P42" i="7"/>
  <c r="O43" i="7"/>
  <c r="O42" i="7"/>
  <c r="P38" i="7"/>
  <c r="O30" i="7"/>
  <c r="P30" i="7"/>
  <c r="O33" i="7"/>
  <c r="O27" i="7"/>
  <c r="P24" i="7"/>
  <c r="O72" i="7"/>
  <c r="K12" i="7" l="1"/>
  <c r="M12" i="7" s="1"/>
  <c r="K13" i="7"/>
  <c r="M13" i="7" s="1"/>
  <c r="K14" i="7"/>
  <c r="M14" i="7" s="1"/>
  <c r="K15" i="7"/>
  <c r="M15" i="7"/>
  <c r="K16" i="7"/>
  <c r="M16" i="7" s="1"/>
  <c r="K17" i="7"/>
  <c r="M17" i="7" s="1"/>
  <c r="M18" i="7"/>
  <c r="M19" i="7"/>
  <c r="K20" i="7"/>
  <c r="M20" i="7" s="1"/>
  <c r="K21" i="7"/>
  <c r="M21" i="7" s="1"/>
  <c r="K22" i="7"/>
  <c r="M22" i="7" s="1"/>
  <c r="K23" i="7"/>
  <c r="M23" i="7" s="1"/>
  <c r="K24" i="7"/>
  <c r="M24" i="7" s="1"/>
  <c r="M25" i="7"/>
  <c r="M26" i="7"/>
  <c r="K27" i="7"/>
  <c r="M27" i="7" s="1"/>
  <c r="M28" i="7"/>
  <c r="M29" i="7"/>
  <c r="K30" i="7"/>
  <c r="M30" i="7" s="1"/>
  <c r="K31" i="7"/>
  <c r="M31" i="7" s="1"/>
  <c r="K32" i="7"/>
  <c r="M32" i="7" s="1"/>
  <c r="K33" i="7"/>
  <c r="M33" i="7" s="1"/>
  <c r="K34" i="7"/>
  <c r="M34" i="7" s="1"/>
  <c r="K35" i="7"/>
  <c r="M35" i="7" s="1"/>
  <c r="K36" i="7"/>
  <c r="M36" i="7" s="1"/>
  <c r="K37" i="7"/>
  <c r="M37" i="7" s="1"/>
  <c r="K38" i="7"/>
  <c r="M38" i="7" s="1"/>
  <c r="K39" i="7"/>
  <c r="M39" i="7" s="1"/>
  <c r="K40" i="7"/>
  <c r="M40" i="7" s="1"/>
  <c r="K41" i="7"/>
  <c r="M41" i="7" s="1"/>
  <c r="K42" i="7"/>
  <c r="M42" i="7" s="1"/>
  <c r="K43" i="7"/>
  <c r="M43" i="7" s="1"/>
  <c r="K44" i="7"/>
  <c r="M44" i="7" s="1"/>
  <c r="K45" i="7"/>
  <c r="M45" i="7" s="1"/>
  <c r="K46" i="7"/>
  <c r="M46" i="7" s="1"/>
  <c r="K47" i="7"/>
  <c r="M47" i="7" s="1"/>
  <c r="M48" i="7"/>
  <c r="M49" i="7"/>
  <c r="K50" i="7"/>
  <c r="M50" i="7" s="1"/>
  <c r="K51" i="7"/>
  <c r="M51" i="7" s="1"/>
  <c r="K52" i="7"/>
  <c r="M52" i="7" s="1"/>
  <c r="K53" i="7"/>
  <c r="M53" i="7" s="1"/>
  <c r="K54" i="7"/>
  <c r="M54" i="7" s="1"/>
  <c r="M55" i="7"/>
  <c r="K56" i="7"/>
  <c r="M56" i="7" s="1"/>
  <c r="K57" i="7"/>
  <c r="M57" i="7" s="1"/>
  <c r="K58" i="7"/>
  <c r="M58" i="7" s="1"/>
  <c r="K59" i="7"/>
  <c r="M59" i="7" s="1"/>
  <c r="K60" i="7"/>
  <c r="M60" i="7" s="1"/>
  <c r="K61" i="7"/>
  <c r="M61" i="7"/>
  <c r="K63" i="7"/>
  <c r="M63" i="7" s="1"/>
  <c r="K64" i="7"/>
  <c r="M64" i="7"/>
  <c r="K65" i="7"/>
  <c r="M65" i="7" s="1"/>
  <c r="K66" i="7"/>
  <c r="M66" i="7" s="1"/>
  <c r="K67" i="7"/>
  <c r="M67" i="7" s="1"/>
  <c r="M68" i="7"/>
  <c r="K70" i="7"/>
  <c r="M70" i="7" s="1"/>
  <c r="K72" i="7"/>
  <c r="M72" i="7" s="1"/>
  <c r="K73" i="7"/>
  <c r="M73" i="7" s="1"/>
  <c r="K74" i="7"/>
  <c r="M74" i="7" s="1"/>
  <c r="K75" i="7"/>
  <c r="M75" i="7" s="1"/>
  <c r="K77" i="7"/>
  <c r="M77" i="7" s="1"/>
  <c r="Q78" i="7"/>
  <c r="S78" i="7" s="1"/>
  <c r="P78" i="7"/>
  <c r="O78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3" i="7"/>
  <c r="L64" i="7"/>
  <c r="L65" i="7"/>
  <c r="L66" i="7"/>
  <c r="L67" i="7"/>
  <c r="L68" i="7"/>
  <c r="L70" i="7"/>
  <c r="L72" i="7"/>
  <c r="L73" i="7"/>
  <c r="L74" i="7"/>
  <c r="L75" i="7"/>
  <c r="L77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R46" i="7"/>
  <c r="S46" i="7"/>
  <c r="R47" i="7"/>
  <c r="S47" i="7"/>
  <c r="R48" i="7"/>
  <c r="S48" i="7"/>
  <c r="R49" i="7"/>
  <c r="S49" i="7"/>
  <c r="R50" i="7"/>
  <c r="S50" i="7"/>
  <c r="R51" i="7"/>
  <c r="S51" i="7"/>
  <c r="R52" i="7"/>
  <c r="S52" i="7"/>
  <c r="R53" i="7"/>
  <c r="S53" i="7"/>
  <c r="R54" i="7"/>
  <c r="S54" i="7"/>
  <c r="R55" i="7"/>
  <c r="S55" i="7"/>
  <c r="R56" i="7"/>
  <c r="S56" i="7"/>
  <c r="R57" i="7"/>
  <c r="S57" i="7"/>
  <c r="R58" i="7"/>
  <c r="S58" i="7"/>
  <c r="R59" i="7"/>
  <c r="S59" i="7"/>
  <c r="R60" i="7"/>
  <c r="S60" i="7"/>
  <c r="R61" i="7"/>
  <c r="S61" i="7"/>
  <c r="R63" i="7"/>
  <c r="S63" i="7"/>
  <c r="R64" i="7"/>
  <c r="S64" i="7"/>
  <c r="R65" i="7"/>
  <c r="S65" i="7"/>
  <c r="R66" i="7"/>
  <c r="S66" i="7"/>
  <c r="R67" i="7"/>
  <c r="S67" i="7"/>
  <c r="R68" i="7"/>
  <c r="S68" i="7"/>
  <c r="R70" i="7"/>
  <c r="S70" i="7"/>
  <c r="R72" i="7"/>
  <c r="S72" i="7"/>
  <c r="R73" i="7"/>
  <c r="S73" i="7"/>
  <c r="R74" i="7"/>
  <c r="S74" i="7"/>
  <c r="R75" i="7"/>
  <c r="S75" i="7"/>
  <c r="R77" i="7"/>
  <c r="S77" i="7"/>
  <c r="S13" i="7"/>
  <c r="R13" i="7"/>
  <c r="S12" i="7"/>
  <c r="R12" i="7"/>
  <c r="K18" i="7"/>
  <c r="K19" i="7"/>
  <c r="K25" i="7"/>
  <c r="K26" i="7"/>
  <c r="K28" i="7"/>
  <c r="K29" i="7"/>
  <c r="K48" i="7"/>
  <c r="K49" i="7"/>
  <c r="K55" i="7"/>
  <c r="K68" i="7"/>
  <c r="L78" i="7" l="1"/>
  <c r="R78" i="7"/>
  <c r="M78" i="7"/>
</calcChain>
</file>

<file path=xl/sharedStrings.xml><?xml version="1.0" encoding="utf-8"?>
<sst xmlns="http://schemas.openxmlformats.org/spreadsheetml/2006/main" count="112" uniqueCount="112">
  <si>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</si>
  <si>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</si>
  <si>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</si>
  <si>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</si>
  <si>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</si>
  <si>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</si>
  <si>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</si>
  <si>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</si>
  <si>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</si>
  <si>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</si>
  <si>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</si>
  <si>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</si>
  <si>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</si>
  <si>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</si>
  <si>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</si>
  <si>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</si>
  <si>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</si>
  <si>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</si>
  <si>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</si>
  <si>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</si>
  <si>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</si>
  <si>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</si>
  <si>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</si>
  <si>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</si>
  <si>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</si>
  <si>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</si>
  <si>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DESARROLLO SOCIAL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</si>
  <si>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</si>
  <si>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</si>
  <si>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dotaciones entregadas a espacios para la primera infancia con enfoque de inclusión que permitan el desarrollo de habilidades.</t>
  </si>
  <si>
    <t>Número de Centros de Desarrollo Infantil - CDI o Espacios para la Primera Infancia construídos o adecuados.</t>
  </si>
  <si>
    <t>Número de estrategias de corresponsabilidad en la garantía de derechos, la prevención de vulneración, amenaza o riesgo en el ámbito familiar, comunitario e institucional formuladas e implementadas.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</si>
  <si>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</si>
  <si>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programas formulados e implementados para el reconocimiento de la construcción de la identidad de niños y niñas con una perspectiva de género  dirigido a padres/madres y educadores.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</si>
  <si>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</si>
  <si>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</si>
  <si>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Número de Rutas de Prevención, Detección y Atención Interinstitucional implementadas y mantenidas frente casos de niños, niñas y adolescentes victimas de bullying, abuso, acoso y/o explotación sexual.</t>
  </si>
  <si>
    <t>Número de jornadas de conmemoración del día de la niñez realizadas.</t>
  </si>
  <si>
    <t>Número de rutas de atención integral formuladas e implementadas para niños, niñas, adolescentes refugiados y migrantes y sus familias.</t>
  </si>
  <si>
    <t>Número de programas formulados e implementados de familias fuertes: amor y límite que permitan fortalecer a las familias como agente protector ante las conductas de riesgo en los adolescentes.</t>
  </si>
  <si>
    <t>Número de entradas gratuitas brindadas a niñas, niños y adolescentes y sus familias a  eventos artísticos, culturales, lúdicos y recreativos.</t>
  </si>
  <si>
    <t>Número de jornadas desarrolladas de uso creativo del tiempo y emprendimiento que potencien sus competencias y motiven continuar en diferentes niveles de educación superior.</t>
  </si>
  <si>
    <t>Porcentaje de niños, niñas y adolescentes en extrema vulnerabilidad fallecidos con servicio exequial requerido por sus familias.</t>
  </si>
  <si>
    <t>Número de procesos de liderazgo b-learning implementados mantenidos orientada al fortalecimiento de la participación de niños, niñas, adolescentes y jóvenes.</t>
  </si>
  <si>
    <t>Número de sistematizaciones realizadas de buenas prácticas que aporten al desarrollo de las realizaciones establecidas para los niños, niñas y adolescentes en el marco del proceso de rendición pública de cuentas.</t>
  </si>
  <si>
    <t>Número de personas mayores beneficiados y mantenidos con el programa Colombia Mayor.</t>
  </si>
  <si>
    <t>Número de ayudas alimentarias anuales proveídas mediante complementos nutricionales para personas mayores en condición de pobreza y vulnerabilidad mejorando su calidad de vida a través de la seguridad alimentaria.</t>
  </si>
  <si>
    <t>Número de personas mayores vulnerables de los diferentes barrios del municipio beneficiados con la oferta de servicios de atencion primaria en salud, recreacion y aprovechamiento del tiempo libre.</t>
  </si>
  <si>
    <t>Porcentaje de personas mayores fallecidas en condición de pobreza, vulnerabilidad y sin red familiar de apoyo con servicio exequial.</t>
  </si>
  <si>
    <t>Número de personas mayores vulnerables mantenidas con atencion integral en instituciones especializadas a través de las modalidades centros vida y centros de bienestar en el marco de la Ley 1276 de 2009.</t>
  </si>
  <si>
    <t>Número de Centros Vida mantenidos en funcionamiento con la prestacion de servicios integrales y/o dotacion de los mismos cumpliendo con la oferta institucional.</t>
  </si>
  <si>
    <t>Número de servicios mantenidos de atención primaria en salud, atención psicosocial que promueva la salud física, salud mental y el bienestar social de las personas mayores en los centros vida.</t>
  </si>
  <si>
    <t>Número de estrategias formuladas e implementadas que promueva  las actividades psicosociales, actividades artísticas y culturales,   actividades físicas y recreación y actividades productivas en las personas mayores.</t>
  </si>
  <si>
    <t>Número de estrategias formuladas e implementadas que promuevan la democratización familiar apoyada en el componente de bienestar comunitario del programa Familias en Acción con impacto en barrios priorizados por NBI.</t>
  </si>
  <si>
    <t>Número de servicios mantenidos de acceso gratuito a espacios de recreación y cultura a familias inscritas en el programa Familias en Acción.</t>
  </si>
  <si>
    <t>Porcentaje de apoyo logístico mantenido a las familias beneficiadas del programa Familias en Acción.</t>
  </si>
  <si>
    <t>Número de estrategias formuladas e implementadas para brindar asistencia social a la población afectada por las diferentes emergencias y particularmente COVID-19.</t>
  </si>
  <si>
    <t>Número de Escuelas de Liderazgo y participación Política para Mujeres mantenidas con cobertura en zona rural y urbana.</t>
  </si>
  <si>
    <t>Número de mujeres, niñas y/o personas atendidas y mantenidas integralmente desde el componente psicosociojurídico y social considerando los enfoques diferenciales y diversidad sexual.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</si>
  <si>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</si>
  <si>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Porcentaje de mujeres y sus hijos víctmas de violencia de género con especial situación de riesgos con medidas de atención y protección mantenidas.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</si>
  <si>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</si>
  <si>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Número de Centros Integrales de la Mujer mantenidos a fin de garantizar el fortalecimiento de los procesos de atención y empoderamiento femenino.</t>
  </si>
  <si>
    <t>Número de Políticas Públicas de Mujer actualizadas e implementadas.</t>
  </si>
  <si>
    <t>Número de políticas públicas formuladas e implementadas para la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</si>
  <si>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</si>
  <si>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</si>
  <si>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Porcentaje de solicitudes realizadas por éste grupo poblacional y sus familias con orientación psicosocial y jurídica atendidas.</t>
  </si>
  <si>
    <t xml:space="preserve">Número de identificaciones, caracterizaciones y seguimientos mantenidos de la situación de cada habitante de calle atendido por la Secretaría de Desarrollo Social. </t>
  </si>
  <si>
    <t>Número de habitantes de calle mantenidos con atención integral en la cual se incluya la prestación de servicios básicos.</t>
  </si>
  <si>
    <t>Número de políticas públicas para habitante de calle formuladas e implementadas.</t>
  </si>
  <si>
    <t>Porcentaje de habitantes de calle fallecidos registrados dentro del censo municipal mantenidos con servicio exequial.</t>
  </si>
  <si>
    <t>Número de niñas, niños y adolescentes con discapacidad del serctor urbano y rural en extrema vulnerabilidad mantenidos con atención integral en procesos de habilitación y rehabilitación.</t>
  </si>
  <si>
    <t>Número de bancos de ayudas técnicas, tecnológicas e informáticas mantenidas para personas con discapacidad que se encuentren en el registro de localización y caracterización.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</si>
  <si>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</si>
  <si>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Número de familias de personas con discapacidad beneficiadas anualmente con una canasta básica alimentaria que según su situación socioeconómica se encuentran en extrema vulnerabilidad.</t>
  </si>
  <si>
    <t>Número de estrategias implementadas de apoyo técnico y jurídico para las solicitudes de ayudas técnicas requeridas por personas vulnerables en condición de discapacidad.</t>
  </si>
  <si>
    <t>Número de sistemas de riego por goteo instalados en la zona rural.</t>
  </si>
  <si>
    <t>Número de ciclos de vacunación mantenidas contra fiebre aftosa y brucelosis en vacunos según normatividad del ICA.</t>
  </si>
  <si>
    <t>Número de proyectos productivos agrícolas o pecuarios realizados.</t>
  </si>
  <si>
    <t>Número de mercadillos campesinos mantenidos.</t>
  </si>
  <si>
    <t>Número de Planes Generales de Asistencia Técnica actualizados e mantenidos.</t>
  </si>
  <si>
    <t>Número de unidades productivas del sector rural con procesos agroindustriales desarrollados.</t>
  </si>
  <si>
    <t>DESARROLLO DEL CAMPO</t>
  </si>
  <si>
    <t>UNA ZONA RURAL COMPETITIVA E INCLUYENTE</t>
  </si>
  <si>
    <t>3. BUCARAMANGA PRODUCTIVA Y COMPETITIVA: EMPRESAS INNOVADORAS, RESPONSABLES Y CONSCIENTES</t>
  </si>
  <si>
    <t>Número de estrategias mantenidas para la prevención, detección y atención de las violencias en adolescentes.</t>
  </si>
  <si>
    <t>PREVENCIÓN DEL DELITO</t>
  </si>
  <si>
    <t>BUCARAMANGA SEGURA</t>
  </si>
  <si>
    <t>4. BUCARAMANGA CIUDAD VITAL: LA VIDA ES SAGRADA</t>
  </si>
  <si>
    <t>Número de estrategias formuladas e implementadas que fortalezca la democracia participativa (Ley 1757 de 2015).</t>
  </si>
  <si>
    <t>Número de salones comunales con el programa Ágoras construidos y/o dotados.</t>
  </si>
  <si>
    <t>Porcentaje de salones comunales mantenidos en funcionamiento que hacen parte del programa Ágoras.</t>
  </si>
  <si>
    <t>Porcentaje de ediles mantenidos con el beneficio del pago de EPS, Pensión, ARL, póliza de vida y dotación.</t>
  </si>
  <si>
    <t>FORTALECIMIENTO DE LAS INSTITUCIONES DEMOCRÁTICAS Y CIUDADANÍA PARTICIPATIVA</t>
  </si>
  <si>
    <t>GOBIERNO FORTALECIDO PARA SER Y HACER</t>
  </si>
  <si>
    <t>ADMINISTRACIÓN PÚBLICA MODERNA E INNOVADORA</t>
  </si>
  <si>
    <t>ACCESO A LA INFORMACIÓN Y PARTICIPACIÓN</t>
  </si>
  <si>
    <t>5. BUCARAMANGA TERRITORIO LIBRE DE CORRUPCIÓN: INSTITUCIONES SÓLIDAS Y CONFIABLES</t>
  </si>
  <si>
    <t>CAPACIDADES Y OPORTUNIDADES PARA SUPERAR BRECHAS SOCIALES</t>
  </si>
  <si>
    <t>1. BUCARAMANGA EQUITATIVA E INCLUYENTE: UNA CIUDAD DE BIENESTAR</t>
  </si>
  <si>
    <t>PRIMERA INFANCIA EL CENTRO DE LA SOCIEDAD</t>
  </si>
  <si>
    <t xml:space="preserve">CRECE CONMIGO: UNA INFANCIA FELIZ </t>
  </si>
  <si>
    <t>CONSTRUCCIÓN DE ENTORNOS PARA UNA ADOLESCENCIA SANA</t>
  </si>
  <si>
    <t>ADULTO MAYOR Y DIGNO</t>
  </si>
  <si>
    <t>ACELERADORES DE DESARROLLO SOCIAL</t>
  </si>
  <si>
    <t>MÁS EQUIDAD PARA LAS MUJERES</t>
  </si>
  <si>
    <t>BUCARAMANGA HÁBITAT PARA EL CUIDADO Y LA CORRESPONSABILIDAD</t>
  </si>
  <si>
    <t>HABITANTES EN SITUACIÓN DE CALLE</t>
  </si>
  <si>
    <t>POBLACIÓN CON DISCAPACIDAD</t>
  </si>
  <si>
    <t xml:space="preserve"> -</t>
  </si>
  <si>
    <t>Porcentaje de programas que desarrolla la Administración Central mantenidos.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</si>
</sst>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_(* #,##0.0_);_(* \(#,##0.0\);_(* &quot;-&quot;??_);_(@_)"/>
  </numFmts>
  <fonts count="1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 Narrow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72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5" fontId="3" fillId="0" borderId="17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22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3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9" fontId="5" fillId="3" borderId="22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5" fontId="5" fillId="0" borderId="38" xfId="0" applyNumberFormat="1" applyFont="1" applyBorder="1" applyAlignment="1">
      <alignment horizontal="center" vertical="center"/>
    </xf>
    <xf numFmtId="0" fontId="7" fillId="0" borderId="38" xfId="0" applyFont="1" applyFill="1" applyBorder="1" applyAlignment="1">
      <alignment horizontal="justify" vertical="center" wrapText="1"/>
    </xf>
    <xf numFmtId="3" fontId="5" fillId="0" borderId="3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8" fillId="0" borderId="47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41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6" fillId="4" borderId="34" xfId="0" applyNumberFormat="1" applyFont="1" applyFill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4" borderId="37" xfId="0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9" fontId="6" fillId="4" borderId="38" xfId="0" applyNumberFormat="1" applyFont="1" applyFill="1" applyBorder="1" applyAlignment="1">
      <alignment horizontal="center" vertical="center"/>
    </xf>
    <xf numFmtId="166" fontId="2" fillId="0" borderId="0" xfId="171" applyNumberFormat="1" applyFont="1" applyBorder="1" applyAlignment="1" applyProtection="1">
      <alignment horizontal="center" vertical="center" wrapText="1"/>
    </xf>
    <xf numFmtId="166" fontId="5" fillId="0" borderId="0" xfId="171" applyNumberFormat="1" applyFont="1" applyAlignment="1">
      <alignment horizontal="center" vertical="center"/>
    </xf>
    <xf numFmtId="3" fontId="12" fillId="0" borderId="0" xfId="171" applyNumberFormat="1" applyFont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6" fontId="2" fillId="0" borderId="28" xfId="171" applyNumberFormat="1" applyFont="1" applyBorder="1" applyAlignment="1">
      <alignment horizontal="center" vertical="center" wrapText="1"/>
    </xf>
    <xf numFmtId="166" fontId="2" fillId="0" borderId="43" xfId="17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7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Millares" xfId="17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=""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19.75" style="1" customWidth="1"/>
    <col min="4" max="4" width="21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9.625" style="1" customWidth="1"/>
    <col min="10" max="10" width="9.625" style="96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100" t="s">
        <v>16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2:20" ht="20.100000000000001" customHeight="1" x14ac:dyDescent="0.2">
      <c r="B3" s="100" t="s">
        <v>25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9"/>
    </row>
    <row r="4" spans="2:20" ht="20.100000000000001" customHeight="1" x14ac:dyDescent="0.2">
      <c r="B4" s="100" t="s">
        <v>26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95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44135</v>
      </c>
      <c r="D8" s="104" t="s">
        <v>3</v>
      </c>
      <c r="E8" s="105"/>
      <c r="F8" s="105"/>
      <c r="G8" s="105"/>
      <c r="H8" s="105"/>
      <c r="I8" s="105"/>
      <c r="J8" s="106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07" t="s">
        <v>17</v>
      </c>
      <c r="C9" s="110" t="s">
        <v>18</v>
      </c>
      <c r="D9" s="112" t="s">
        <v>0</v>
      </c>
      <c r="E9" s="115" t="s">
        <v>4</v>
      </c>
      <c r="F9" s="115"/>
      <c r="G9" s="115" t="s">
        <v>5</v>
      </c>
      <c r="H9" s="115"/>
      <c r="I9" s="115"/>
      <c r="J9" s="117"/>
      <c r="K9" s="5"/>
      <c r="L9" s="112" t="s">
        <v>6</v>
      </c>
      <c r="M9" s="117"/>
      <c r="N9" s="123" t="s">
        <v>23</v>
      </c>
      <c r="O9" s="124"/>
      <c r="P9" s="124"/>
      <c r="Q9" s="124"/>
      <c r="R9" s="124"/>
      <c r="S9" s="125"/>
    </row>
    <row r="10" spans="2:20" ht="17.100000000000001" customHeight="1" x14ac:dyDescent="0.2">
      <c r="B10" s="108"/>
      <c r="C10" s="111"/>
      <c r="D10" s="113"/>
      <c r="E10" s="116"/>
      <c r="F10" s="116"/>
      <c r="G10" s="116" t="s">
        <v>7</v>
      </c>
      <c r="H10" s="120" t="s">
        <v>24</v>
      </c>
      <c r="I10" s="121" t="s">
        <v>1</v>
      </c>
      <c r="J10" s="118" t="s">
        <v>8</v>
      </c>
      <c r="K10" s="6"/>
      <c r="L10" s="129" t="s">
        <v>9</v>
      </c>
      <c r="M10" s="131" t="s">
        <v>10</v>
      </c>
      <c r="N10" s="126"/>
      <c r="O10" s="127"/>
      <c r="P10" s="127"/>
      <c r="Q10" s="127"/>
      <c r="R10" s="127"/>
      <c r="S10" s="128"/>
    </row>
    <row r="11" spans="2:20" ht="37.5" customHeight="1" thickBot="1" x14ac:dyDescent="0.25">
      <c r="B11" s="109"/>
      <c r="C11" s="111"/>
      <c r="D11" s="114"/>
      <c r="E11" s="19" t="s">
        <v>11</v>
      </c>
      <c r="F11" s="19" t="s">
        <v>12</v>
      </c>
      <c r="G11" s="120"/>
      <c r="H11" s="139"/>
      <c r="I11" s="122"/>
      <c r="J11" s="119"/>
      <c r="K11" s="20"/>
      <c r="L11" s="130"/>
      <c r="M11" s="132"/>
      <c r="N11" s="21" t="s">
        <v>22</v>
      </c>
      <c r="O11" s="22" t="s">
        <v>19</v>
      </c>
      <c r="P11" s="23" t="s">
        <v>20</v>
      </c>
      <c r="Q11" s="24" t="s">
        <v>21</v>
      </c>
      <c r="R11" s="24" t="s">
        <v>14</v>
      </c>
      <c r="S11" s="25" t="s">
        <v>15</v>
      </c>
    </row>
    <row r="12" spans="2:20" ht="90" customHeight="1" x14ac:dyDescent="0.2">
      <c r="B12" s="133" t="s">
        <v>100</v>
      </c>
      <c r="C12" s="133" t="s">
        <v>99</v>
      </c>
      <c r="D12" s="136" t="s">
        <v>101</v>
      </c>
      <c r="E12" s="47">
        <v>43831</v>
      </c>
      <c r="F12" s="47">
        <v>44196</v>
      </c>
      <c r="G12" s="14" t="s">
        <v>27</v>
      </c>
      <c r="H12" s="48">
        <v>1</v>
      </c>
      <c r="I12" s="48">
        <v>1</v>
      </c>
      <c r="J12" s="48">
        <v>1</v>
      </c>
      <c r="K12" s="77">
        <f>+J12/I12</f>
        <v>1</v>
      </c>
      <c r="L12" s="84">
        <f>DAYS360(E12,$C$8)/DAYS360(E12,F12)</f>
        <v>0.83333333333333337</v>
      </c>
      <c r="M12" s="50">
        <f>IF(I12=0," -",IF(K12&gt;100%,100%,K12))</f>
        <v>1</v>
      </c>
      <c r="N12" s="72">
        <v>0</v>
      </c>
      <c r="O12" s="48">
        <f>707623-277199-80000-110801</f>
        <v>239623</v>
      </c>
      <c r="P12" s="48">
        <f>57750-20000+29850</f>
        <v>67600</v>
      </c>
      <c r="Q12" s="48">
        <v>0</v>
      </c>
      <c r="R12" s="49">
        <f>IF(O12=0," -",P12/O12)</f>
        <v>0.28210981416641973</v>
      </c>
      <c r="S12" s="50" t="str">
        <f>IF(Q12=0," -",IF(P12=0,100%,Q12/P12))</f>
        <v xml:space="preserve"> -</v>
      </c>
    </row>
    <row r="13" spans="2:20" ht="135" x14ac:dyDescent="0.2">
      <c r="B13" s="134"/>
      <c r="C13" s="134"/>
      <c r="D13" s="137"/>
      <c r="E13" s="44">
        <v>43831</v>
      </c>
      <c r="F13" s="44">
        <v>44196</v>
      </c>
      <c r="G13" s="15" t="s">
        <v>28</v>
      </c>
      <c r="H13" s="45">
        <v>1</v>
      </c>
      <c r="I13" s="45">
        <v>1</v>
      </c>
      <c r="J13" s="45">
        <v>1</v>
      </c>
      <c r="K13" s="78">
        <f>+J13/I13</f>
        <v>1</v>
      </c>
      <c r="L13" s="85">
        <f>DAYS360(E13,$C$8)/DAYS360(E13,F13)</f>
        <v>0.83333333333333337</v>
      </c>
      <c r="M13" s="51">
        <f>IF(I13=0," -",IF(K13&gt;100%,100%,K13))</f>
        <v>1</v>
      </c>
      <c r="N13" s="73">
        <v>0</v>
      </c>
      <c r="O13" s="45">
        <v>80000</v>
      </c>
      <c r="P13" s="45">
        <f>20000+20000</f>
        <v>40000</v>
      </c>
      <c r="Q13" s="45">
        <v>0</v>
      </c>
      <c r="R13" s="46">
        <f>IF(O13=0," -",P13/O13)</f>
        <v>0.5</v>
      </c>
      <c r="S13" s="51" t="str">
        <f>IF(Q13=0," -",IF(P13=0,100%,Q13/P13))</f>
        <v xml:space="preserve"> -</v>
      </c>
    </row>
    <row r="14" spans="2:20" ht="60" x14ac:dyDescent="0.2">
      <c r="B14" s="134"/>
      <c r="C14" s="134"/>
      <c r="D14" s="137"/>
      <c r="E14" s="44">
        <v>43831</v>
      </c>
      <c r="F14" s="44">
        <v>44196</v>
      </c>
      <c r="G14" s="15" t="s">
        <v>29</v>
      </c>
      <c r="H14" s="45">
        <v>4</v>
      </c>
      <c r="I14" s="45">
        <v>4</v>
      </c>
      <c r="J14" s="45">
        <v>0</v>
      </c>
      <c r="K14" s="78">
        <f t="shared" ref="K14:K77" si="0">+J14/I14</f>
        <v>0</v>
      </c>
      <c r="L14" s="85">
        <f t="shared" ref="L14:L61" si="1">DAYS360(E14,$C$8)/DAYS360(E14,F14)</f>
        <v>0.83333333333333337</v>
      </c>
      <c r="M14" s="51">
        <f t="shared" ref="M14:M61" si="2">IF(I14=0," -",IF(K14&gt;100%,100%,K14))</f>
        <v>0</v>
      </c>
      <c r="N14" s="73">
        <v>0</v>
      </c>
      <c r="O14" s="45">
        <v>0</v>
      </c>
      <c r="P14" s="45">
        <v>0</v>
      </c>
      <c r="Q14" s="45">
        <v>0</v>
      </c>
      <c r="R14" s="46" t="str">
        <f t="shared" ref="R14:R77" si="3">IF(O14=0," -",P14/O14)</f>
        <v xml:space="preserve"> -</v>
      </c>
      <c r="S14" s="51" t="str">
        <f t="shared" ref="S14:S77" si="4">IF(Q14=0," -",IF(P14=0,100%,Q14/P14))</f>
        <v xml:space="preserve"> -</v>
      </c>
    </row>
    <row r="15" spans="2:20" ht="60.75" thickBot="1" x14ac:dyDescent="0.25">
      <c r="B15" s="134"/>
      <c r="C15" s="134"/>
      <c r="D15" s="141"/>
      <c r="E15" s="63">
        <v>43831</v>
      </c>
      <c r="F15" s="63">
        <v>44196</v>
      </c>
      <c r="G15" s="16" t="s">
        <v>30</v>
      </c>
      <c r="H15" s="64">
        <v>4</v>
      </c>
      <c r="I15" s="64">
        <v>0</v>
      </c>
      <c r="J15" s="64">
        <v>0</v>
      </c>
      <c r="K15" s="79" t="e">
        <f t="shared" si="0"/>
        <v>#DIV/0!</v>
      </c>
      <c r="L15" s="87">
        <f t="shared" si="1"/>
        <v>0.83333333333333337</v>
      </c>
      <c r="M15" s="66" t="str">
        <f t="shared" si="2"/>
        <v xml:space="preserve"> -</v>
      </c>
      <c r="N15" s="75">
        <v>0</v>
      </c>
      <c r="O15" s="64">
        <v>0</v>
      </c>
      <c r="P15" s="64">
        <v>0</v>
      </c>
      <c r="Q15" s="64">
        <v>0</v>
      </c>
      <c r="R15" s="65" t="str">
        <f t="shared" si="3"/>
        <v xml:space="preserve"> -</v>
      </c>
      <c r="S15" s="66" t="str">
        <f t="shared" si="4"/>
        <v xml:space="preserve"> -</v>
      </c>
    </row>
    <row r="16" spans="2:20" ht="90" x14ac:dyDescent="0.2">
      <c r="B16" s="134"/>
      <c r="C16" s="134"/>
      <c r="D16" s="101" t="s">
        <v>102</v>
      </c>
      <c r="E16" s="47">
        <v>43831</v>
      </c>
      <c r="F16" s="47">
        <v>44196</v>
      </c>
      <c r="G16" s="14" t="s">
        <v>31</v>
      </c>
      <c r="H16" s="48">
        <v>1</v>
      </c>
      <c r="I16" s="48">
        <v>1</v>
      </c>
      <c r="J16" s="48">
        <v>1</v>
      </c>
      <c r="K16" s="77">
        <f t="shared" si="0"/>
        <v>1</v>
      </c>
      <c r="L16" s="84">
        <f t="shared" si="1"/>
        <v>0.83333333333333337</v>
      </c>
      <c r="M16" s="50">
        <f t="shared" si="2"/>
        <v>1</v>
      </c>
      <c r="N16" s="72">
        <v>0</v>
      </c>
      <c r="O16" s="48">
        <f>968000-85000-85000-50000-25000-60000-280000-103250+10000</f>
        <v>289750</v>
      </c>
      <c r="P16" s="48">
        <f>136700-25000-30000-25000-18000-17500+103250+715+159163</f>
        <v>284328</v>
      </c>
      <c r="Q16" s="48">
        <v>0</v>
      </c>
      <c r="R16" s="49">
        <f t="shared" si="3"/>
        <v>0.98128731665228641</v>
      </c>
      <c r="S16" s="50" t="str">
        <f t="shared" si="4"/>
        <v xml:space="preserve"> -</v>
      </c>
    </row>
    <row r="17" spans="2:19" ht="120" x14ac:dyDescent="0.2">
      <c r="B17" s="134"/>
      <c r="C17" s="134"/>
      <c r="D17" s="102"/>
      <c r="E17" s="44">
        <v>43831</v>
      </c>
      <c r="F17" s="44">
        <v>44196</v>
      </c>
      <c r="G17" s="15" t="s">
        <v>32</v>
      </c>
      <c r="H17" s="45">
        <v>4</v>
      </c>
      <c r="I17" s="45">
        <v>1</v>
      </c>
      <c r="J17" s="45">
        <v>1</v>
      </c>
      <c r="K17" s="78">
        <f t="shared" si="0"/>
        <v>1</v>
      </c>
      <c r="L17" s="85">
        <f t="shared" si="1"/>
        <v>0.83333333333333337</v>
      </c>
      <c r="M17" s="51">
        <f t="shared" si="2"/>
        <v>1</v>
      </c>
      <c r="N17" s="73">
        <v>0</v>
      </c>
      <c r="O17" s="45">
        <f>85000-10000</f>
        <v>75000</v>
      </c>
      <c r="P17" s="45">
        <v>25000</v>
      </c>
      <c r="Q17" s="45">
        <v>0</v>
      </c>
      <c r="R17" s="46">
        <f t="shared" si="3"/>
        <v>0.33333333333333331</v>
      </c>
      <c r="S17" s="51" t="str">
        <f t="shared" si="4"/>
        <v xml:space="preserve"> -</v>
      </c>
    </row>
    <row r="18" spans="2:19" ht="90" x14ac:dyDescent="0.2">
      <c r="B18" s="134"/>
      <c r="C18" s="134"/>
      <c r="D18" s="102"/>
      <c r="E18" s="44">
        <v>43831</v>
      </c>
      <c r="F18" s="44">
        <v>44196</v>
      </c>
      <c r="G18" s="15" t="s">
        <v>33</v>
      </c>
      <c r="H18" s="45">
        <v>1</v>
      </c>
      <c r="I18" s="45">
        <v>0</v>
      </c>
      <c r="J18" s="45">
        <v>0</v>
      </c>
      <c r="K18" s="78" t="e">
        <f t="shared" si="0"/>
        <v>#DIV/0!</v>
      </c>
      <c r="L18" s="85">
        <f t="shared" si="1"/>
        <v>0.83333333333333337</v>
      </c>
      <c r="M18" s="51" t="str">
        <f t="shared" si="2"/>
        <v xml:space="preserve"> -</v>
      </c>
      <c r="N18" s="73">
        <v>0</v>
      </c>
      <c r="O18" s="45">
        <v>0</v>
      </c>
      <c r="P18" s="45">
        <v>0</v>
      </c>
      <c r="Q18" s="45">
        <v>0</v>
      </c>
      <c r="R18" s="46" t="str">
        <f t="shared" si="3"/>
        <v xml:space="preserve"> -</v>
      </c>
      <c r="S18" s="51" t="str">
        <f t="shared" si="4"/>
        <v xml:space="preserve"> -</v>
      </c>
    </row>
    <row r="19" spans="2:19" ht="105" x14ac:dyDescent="0.2">
      <c r="B19" s="134"/>
      <c r="C19" s="134"/>
      <c r="D19" s="102"/>
      <c r="E19" s="44">
        <v>43831</v>
      </c>
      <c r="F19" s="44">
        <v>44196</v>
      </c>
      <c r="G19" s="15" t="s">
        <v>34</v>
      </c>
      <c r="H19" s="45">
        <v>1</v>
      </c>
      <c r="I19" s="45">
        <v>0</v>
      </c>
      <c r="J19" s="45">
        <v>0</v>
      </c>
      <c r="K19" s="78" t="e">
        <f t="shared" si="0"/>
        <v>#DIV/0!</v>
      </c>
      <c r="L19" s="85">
        <f t="shared" si="1"/>
        <v>0.83333333333333337</v>
      </c>
      <c r="M19" s="51" t="str">
        <f t="shared" si="2"/>
        <v xml:space="preserve"> -</v>
      </c>
      <c r="N19" s="73">
        <v>0</v>
      </c>
      <c r="O19" s="45">
        <v>0</v>
      </c>
      <c r="P19" s="45">
        <v>0</v>
      </c>
      <c r="Q19" s="45">
        <v>0</v>
      </c>
      <c r="R19" s="46" t="str">
        <f t="shared" si="3"/>
        <v xml:space="preserve"> -</v>
      </c>
      <c r="S19" s="51" t="str">
        <f t="shared" si="4"/>
        <v xml:space="preserve"> -</v>
      </c>
    </row>
    <row r="20" spans="2:19" ht="120" x14ac:dyDescent="0.2">
      <c r="B20" s="134"/>
      <c r="C20" s="134"/>
      <c r="D20" s="102"/>
      <c r="E20" s="44">
        <v>43831</v>
      </c>
      <c r="F20" s="44">
        <v>44196</v>
      </c>
      <c r="G20" s="15" t="s">
        <v>35</v>
      </c>
      <c r="H20" s="45">
        <v>1</v>
      </c>
      <c r="I20" s="45">
        <v>1</v>
      </c>
      <c r="J20" s="45">
        <v>1</v>
      </c>
      <c r="K20" s="78">
        <f t="shared" si="0"/>
        <v>1</v>
      </c>
      <c r="L20" s="85">
        <f t="shared" si="1"/>
        <v>0.83333333333333337</v>
      </c>
      <c r="M20" s="51">
        <f t="shared" si="2"/>
        <v>1</v>
      </c>
      <c r="N20" s="73">
        <v>0</v>
      </c>
      <c r="O20" s="45">
        <v>85000</v>
      </c>
      <c r="P20" s="45">
        <v>18000</v>
      </c>
      <c r="Q20" s="45">
        <v>0</v>
      </c>
      <c r="R20" s="46">
        <f t="shared" si="3"/>
        <v>0.21176470588235294</v>
      </c>
      <c r="S20" s="51" t="str">
        <f t="shared" si="4"/>
        <v xml:space="preserve"> -</v>
      </c>
    </row>
    <row r="21" spans="2:19" ht="90" x14ac:dyDescent="0.2">
      <c r="B21" s="134"/>
      <c r="C21" s="134"/>
      <c r="D21" s="102"/>
      <c r="E21" s="44">
        <v>43831</v>
      </c>
      <c r="F21" s="44">
        <v>44196</v>
      </c>
      <c r="G21" s="15" t="s">
        <v>36</v>
      </c>
      <c r="H21" s="45">
        <v>1</v>
      </c>
      <c r="I21" s="45">
        <v>1</v>
      </c>
      <c r="J21" s="45">
        <v>1</v>
      </c>
      <c r="K21" s="78">
        <f t="shared" si="0"/>
        <v>1</v>
      </c>
      <c r="L21" s="85">
        <f t="shared" si="1"/>
        <v>0.83333333333333337</v>
      </c>
      <c r="M21" s="51">
        <f t="shared" si="2"/>
        <v>1</v>
      </c>
      <c r="N21" s="73">
        <v>0</v>
      </c>
      <c r="O21" s="45">
        <v>50000</v>
      </c>
      <c r="P21" s="45">
        <v>17500</v>
      </c>
      <c r="Q21" s="45">
        <v>0</v>
      </c>
      <c r="R21" s="46">
        <f t="shared" si="3"/>
        <v>0.35</v>
      </c>
      <c r="S21" s="51" t="str">
        <f t="shared" si="4"/>
        <v xml:space="preserve"> -</v>
      </c>
    </row>
    <row r="22" spans="2:19" ht="45" x14ac:dyDescent="0.2">
      <c r="B22" s="134"/>
      <c r="C22" s="134"/>
      <c r="D22" s="102"/>
      <c r="E22" s="44">
        <v>43831</v>
      </c>
      <c r="F22" s="44">
        <v>44196</v>
      </c>
      <c r="G22" s="15" t="s">
        <v>37</v>
      </c>
      <c r="H22" s="45">
        <v>4</v>
      </c>
      <c r="I22" s="45">
        <v>1</v>
      </c>
      <c r="J22" s="45">
        <v>1</v>
      </c>
      <c r="K22" s="78">
        <f t="shared" si="0"/>
        <v>1</v>
      </c>
      <c r="L22" s="85">
        <f t="shared" si="1"/>
        <v>0.83333333333333337</v>
      </c>
      <c r="M22" s="51">
        <f t="shared" si="2"/>
        <v>1</v>
      </c>
      <c r="N22" s="73">
        <v>0</v>
      </c>
      <c r="O22" s="45">
        <v>25000</v>
      </c>
      <c r="P22" s="45">
        <v>25000</v>
      </c>
      <c r="Q22" s="45">
        <v>0</v>
      </c>
      <c r="R22" s="46">
        <f t="shared" si="3"/>
        <v>1</v>
      </c>
      <c r="S22" s="51" t="str">
        <f t="shared" si="4"/>
        <v xml:space="preserve"> -</v>
      </c>
    </row>
    <row r="23" spans="2:19" ht="60.75" thickBot="1" x14ac:dyDescent="0.25">
      <c r="B23" s="134"/>
      <c r="C23" s="134"/>
      <c r="D23" s="103"/>
      <c r="E23" s="52">
        <v>43831</v>
      </c>
      <c r="F23" s="52">
        <v>44196</v>
      </c>
      <c r="G23" s="17" t="s">
        <v>38</v>
      </c>
      <c r="H23" s="53">
        <v>1</v>
      </c>
      <c r="I23" s="53">
        <v>1</v>
      </c>
      <c r="J23" s="53">
        <v>1</v>
      </c>
      <c r="K23" s="80">
        <f t="shared" si="0"/>
        <v>1</v>
      </c>
      <c r="L23" s="86">
        <f t="shared" si="1"/>
        <v>0.83333333333333337</v>
      </c>
      <c r="M23" s="55">
        <f t="shared" si="2"/>
        <v>1</v>
      </c>
      <c r="N23" s="74">
        <v>0</v>
      </c>
      <c r="O23" s="53">
        <f>60000+103250</f>
        <v>163250</v>
      </c>
      <c r="P23" s="98">
        <f>30000+103250</f>
        <v>133250</v>
      </c>
      <c r="Q23" s="53">
        <v>0</v>
      </c>
      <c r="R23" s="54">
        <f t="shared" si="3"/>
        <v>0.81623277182235832</v>
      </c>
      <c r="S23" s="55" t="str">
        <f t="shared" si="4"/>
        <v xml:space="preserve"> -</v>
      </c>
    </row>
    <row r="24" spans="2:19" ht="90" x14ac:dyDescent="0.2">
      <c r="B24" s="134"/>
      <c r="C24" s="134"/>
      <c r="D24" s="140" t="s">
        <v>103</v>
      </c>
      <c r="E24" s="67">
        <v>43831</v>
      </c>
      <c r="F24" s="67">
        <v>44196</v>
      </c>
      <c r="G24" s="18" t="s">
        <v>39</v>
      </c>
      <c r="H24" s="68">
        <v>1</v>
      </c>
      <c r="I24" s="68">
        <v>1</v>
      </c>
      <c r="J24" s="68">
        <v>1</v>
      </c>
      <c r="K24" s="81">
        <f t="shared" si="0"/>
        <v>1</v>
      </c>
      <c r="L24" s="88">
        <f t="shared" si="1"/>
        <v>0.83333333333333337</v>
      </c>
      <c r="M24" s="70">
        <f t="shared" si="2"/>
        <v>1</v>
      </c>
      <c r="N24" s="76">
        <v>0</v>
      </c>
      <c r="O24" s="68">
        <f>554950-26250-52000</f>
        <v>476700</v>
      </c>
      <c r="P24" s="68">
        <f>96950-26250</f>
        <v>70700</v>
      </c>
      <c r="Q24" s="68">
        <v>0</v>
      </c>
      <c r="R24" s="69">
        <f t="shared" si="3"/>
        <v>0.14831130690161526</v>
      </c>
      <c r="S24" s="70" t="str">
        <f t="shared" si="4"/>
        <v xml:space="preserve"> -</v>
      </c>
    </row>
    <row r="25" spans="2:19" ht="75" x14ac:dyDescent="0.2">
      <c r="B25" s="134"/>
      <c r="C25" s="134"/>
      <c r="D25" s="137"/>
      <c r="E25" s="44">
        <v>43831</v>
      </c>
      <c r="F25" s="44">
        <v>44196</v>
      </c>
      <c r="G25" s="15" t="s">
        <v>40</v>
      </c>
      <c r="H25" s="45">
        <v>150000</v>
      </c>
      <c r="I25" s="45">
        <v>0</v>
      </c>
      <c r="J25" s="45">
        <v>0</v>
      </c>
      <c r="K25" s="78" t="e">
        <f t="shared" si="0"/>
        <v>#DIV/0!</v>
      </c>
      <c r="L25" s="85">
        <f t="shared" si="1"/>
        <v>0.83333333333333337</v>
      </c>
      <c r="M25" s="51" t="str">
        <f t="shared" si="2"/>
        <v xml:space="preserve"> -</v>
      </c>
      <c r="N25" s="73">
        <v>0</v>
      </c>
      <c r="O25" s="45">
        <v>0</v>
      </c>
      <c r="P25" s="45">
        <v>0</v>
      </c>
      <c r="Q25" s="45">
        <v>0</v>
      </c>
      <c r="R25" s="46" t="str">
        <f t="shared" si="3"/>
        <v xml:space="preserve"> -</v>
      </c>
      <c r="S25" s="51" t="str">
        <f t="shared" si="4"/>
        <v xml:space="preserve"> -</v>
      </c>
    </row>
    <row r="26" spans="2:19" ht="90" x14ac:dyDescent="0.2">
      <c r="B26" s="134"/>
      <c r="C26" s="134"/>
      <c r="D26" s="137"/>
      <c r="E26" s="44">
        <v>43831</v>
      </c>
      <c r="F26" s="44">
        <v>44196</v>
      </c>
      <c r="G26" s="15" t="s">
        <v>41</v>
      </c>
      <c r="H26" s="45">
        <v>3</v>
      </c>
      <c r="I26" s="45">
        <v>0</v>
      </c>
      <c r="J26" s="45">
        <v>0</v>
      </c>
      <c r="K26" s="78" t="e">
        <f t="shared" si="0"/>
        <v>#DIV/0!</v>
      </c>
      <c r="L26" s="85">
        <f t="shared" si="1"/>
        <v>0.83333333333333337</v>
      </c>
      <c r="M26" s="51" t="str">
        <f t="shared" si="2"/>
        <v xml:space="preserve"> -</v>
      </c>
      <c r="N26" s="73">
        <v>0</v>
      </c>
      <c r="O26" s="45">
        <v>0</v>
      </c>
      <c r="P26" s="45">
        <v>0</v>
      </c>
      <c r="Q26" s="45">
        <v>0</v>
      </c>
      <c r="R26" s="46" t="str">
        <f t="shared" si="3"/>
        <v xml:space="preserve"> -</v>
      </c>
      <c r="S26" s="51" t="str">
        <f t="shared" si="4"/>
        <v xml:space="preserve"> -</v>
      </c>
    </row>
    <row r="27" spans="2:19" ht="60" x14ac:dyDescent="0.2">
      <c r="B27" s="134"/>
      <c r="C27" s="134"/>
      <c r="D27" s="137"/>
      <c r="E27" s="44">
        <v>43831</v>
      </c>
      <c r="F27" s="44">
        <v>44196</v>
      </c>
      <c r="G27" s="15" t="s">
        <v>42</v>
      </c>
      <c r="H27" s="46">
        <v>1</v>
      </c>
      <c r="I27" s="46">
        <v>1</v>
      </c>
      <c r="J27" s="46">
        <v>1</v>
      </c>
      <c r="K27" s="78">
        <f t="shared" si="0"/>
        <v>1</v>
      </c>
      <c r="L27" s="85">
        <f t="shared" si="1"/>
        <v>0.83333333333333337</v>
      </c>
      <c r="M27" s="51">
        <f t="shared" si="2"/>
        <v>1</v>
      </c>
      <c r="N27" s="73">
        <v>0</v>
      </c>
      <c r="O27" s="45">
        <f>20000+6250</f>
        <v>26250</v>
      </c>
      <c r="P27" s="45">
        <v>26250</v>
      </c>
      <c r="Q27" s="45">
        <v>0</v>
      </c>
      <c r="R27" s="46">
        <f t="shared" si="3"/>
        <v>1</v>
      </c>
      <c r="S27" s="51" t="str">
        <f t="shared" si="4"/>
        <v xml:space="preserve"> -</v>
      </c>
    </row>
    <row r="28" spans="2:19" ht="75" x14ac:dyDescent="0.2">
      <c r="B28" s="134"/>
      <c r="C28" s="134"/>
      <c r="D28" s="137"/>
      <c r="E28" s="44">
        <v>43831</v>
      </c>
      <c r="F28" s="44">
        <v>44196</v>
      </c>
      <c r="G28" s="15" t="s">
        <v>43</v>
      </c>
      <c r="H28" s="45">
        <v>1</v>
      </c>
      <c r="I28" s="45">
        <v>0</v>
      </c>
      <c r="J28" s="45">
        <v>1</v>
      </c>
      <c r="K28" s="78" t="e">
        <f t="shared" si="0"/>
        <v>#DIV/0!</v>
      </c>
      <c r="L28" s="85">
        <f t="shared" si="1"/>
        <v>0.83333333333333337</v>
      </c>
      <c r="M28" s="51" t="str">
        <f t="shared" si="2"/>
        <v xml:space="preserve"> -</v>
      </c>
      <c r="N28" s="73">
        <v>0</v>
      </c>
      <c r="O28" s="45">
        <v>0</v>
      </c>
      <c r="P28" s="45">
        <v>0</v>
      </c>
      <c r="Q28" s="45">
        <v>0</v>
      </c>
      <c r="R28" s="46" t="str">
        <f t="shared" si="3"/>
        <v xml:space="preserve"> -</v>
      </c>
      <c r="S28" s="51" t="str">
        <f t="shared" si="4"/>
        <v xml:space="preserve"> -</v>
      </c>
    </row>
    <row r="29" spans="2:19" ht="105.75" thickBot="1" x14ac:dyDescent="0.25">
      <c r="B29" s="134"/>
      <c r="C29" s="134"/>
      <c r="D29" s="141"/>
      <c r="E29" s="63">
        <v>43831</v>
      </c>
      <c r="F29" s="63">
        <v>44196</v>
      </c>
      <c r="G29" s="16" t="s">
        <v>44</v>
      </c>
      <c r="H29" s="64">
        <v>4</v>
      </c>
      <c r="I29" s="64">
        <v>0</v>
      </c>
      <c r="J29" s="64">
        <v>0</v>
      </c>
      <c r="K29" s="79" t="e">
        <f t="shared" si="0"/>
        <v>#DIV/0!</v>
      </c>
      <c r="L29" s="87">
        <f t="shared" si="1"/>
        <v>0.83333333333333337</v>
      </c>
      <c r="M29" s="66" t="str">
        <f t="shared" si="2"/>
        <v xml:space="preserve"> -</v>
      </c>
      <c r="N29" s="75">
        <v>0</v>
      </c>
      <c r="O29" s="64">
        <v>0</v>
      </c>
      <c r="P29" s="64">
        <v>0</v>
      </c>
      <c r="Q29" s="64">
        <v>0</v>
      </c>
      <c r="R29" s="65" t="str">
        <f t="shared" si="3"/>
        <v xml:space="preserve"> -</v>
      </c>
      <c r="S29" s="66" t="str">
        <f t="shared" si="4"/>
        <v xml:space="preserve"> -</v>
      </c>
    </row>
    <row r="30" spans="2:19" ht="45" x14ac:dyDescent="0.2">
      <c r="B30" s="134"/>
      <c r="C30" s="134"/>
      <c r="D30" s="101" t="s">
        <v>104</v>
      </c>
      <c r="E30" s="47">
        <v>43831</v>
      </c>
      <c r="F30" s="47">
        <v>44196</v>
      </c>
      <c r="G30" s="14" t="s">
        <v>45</v>
      </c>
      <c r="H30" s="48">
        <v>11000</v>
      </c>
      <c r="I30" s="48">
        <v>11000</v>
      </c>
      <c r="J30" s="48">
        <v>10653</v>
      </c>
      <c r="K30" s="77">
        <f t="shared" si="0"/>
        <v>0.96845454545454546</v>
      </c>
      <c r="L30" s="84">
        <f t="shared" si="1"/>
        <v>0.83333333333333337</v>
      </c>
      <c r="M30" s="50">
        <f t="shared" si="2"/>
        <v>0.96845454545454546</v>
      </c>
      <c r="N30" s="72">
        <v>0</v>
      </c>
      <c r="O30" s="48">
        <f>9763443-1730666-450000-120000-6138220-400000-390000-220000-200000+50000</f>
        <v>164557</v>
      </c>
      <c r="P30" s="48">
        <f>4725731-1267565-2717150-140000-120000-162720-158000</f>
        <v>160296</v>
      </c>
      <c r="Q30" s="48">
        <v>0</v>
      </c>
      <c r="R30" s="49">
        <f t="shared" si="3"/>
        <v>0.97410623674471464</v>
      </c>
      <c r="S30" s="50" t="str">
        <f t="shared" si="4"/>
        <v xml:space="preserve"> -</v>
      </c>
    </row>
    <row r="31" spans="2:19" ht="105" x14ac:dyDescent="0.2">
      <c r="B31" s="134"/>
      <c r="C31" s="134"/>
      <c r="D31" s="102"/>
      <c r="E31" s="44">
        <v>43831</v>
      </c>
      <c r="F31" s="44">
        <v>44196</v>
      </c>
      <c r="G31" s="15" t="s">
        <v>46</v>
      </c>
      <c r="H31" s="45">
        <v>25000</v>
      </c>
      <c r="I31" s="45">
        <v>25000</v>
      </c>
      <c r="J31" s="45">
        <v>12765</v>
      </c>
      <c r="K31" s="78">
        <f t="shared" si="0"/>
        <v>0.51060000000000005</v>
      </c>
      <c r="L31" s="85">
        <f t="shared" si="1"/>
        <v>0.83333333333333337</v>
      </c>
      <c r="M31" s="51">
        <f t="shared" si="2"/>
        <v>0.51060000000000005</v>
      </c>
      <c r="N31" s="73">
        <v>0</v>
      </c>
      <c r="O31" s="45">
        <f>1730666+200000-43000-50000+150000</f>
        <v>1987666</v>
      </c>
      <c r="P31" s="45">
        <f>1267565+697500</f>
        <v>1965065</v>
      </c>
      <c r="Q31" s="45">
        <v>0</v>
      </c>
      <c r="R31" s="46">
        <f t="shared" si="3"/>
        <v>0.98862937737024226</v>
      </c>
      <c r="S31" s="51" t="str">
        <f t="shared" si="4"/>
        <v xml:space="preserve"> -</v>
      </c>
    </row>
    <row r="32" spans="2:19" ht="90" x14ac:dyDescent="0.2">
      <c r="B32" s="134"/>
      <c r="C32" s="134"/>
      <c r="D32" s="102"/>
      <c r="E32" s="44">
        <v>43831</v>
      </c>
      <c r="F32" s="44">
        <v>44196</v>
      </c>
      <c r="G32" s="15" t="s">
        <v>47</v>
      </c>
      <c r="H32" s="45">
        <v>7000</v>
      </c>
      <c r="I32" s="45">
        <v>800</v>
      </c>
      <c r="J32" s="45">
        <v>4185</v>
      </c>
      <c r="K32" s="78">
        <f t="shared" si="0"/>
        <v>5.2312500000000002</v>
      </c>
      <c r="L32" s="85">
        <f t="shared" si="1"/>
        <v>0.83333333333333337</v>
      </c>
      <c r="M32" s="51">
        <f t="shared" si="2"/>
        <v>1</v>
      </c>
      <c r="N32" s="73">
        <v>0</v>
      </c>
      <c r="O32" s="99">
        <f>450000-150000</f>
        <v>300000</v>
      </c>
      <c r="P32" s="45">
        <v>158000</v>
      </c>
      <c r="Q32" s="45">
        <v>0</v>
      </c>
      <c r="R32" s="46">
        <f t="shared" si="3"/>
        <v>0.52666666666666662</v>
      </c>
      <c r="S32" s="51" t="str">
        <f t="shared" si="4"/>
        <v xml:space="preserve"> -</v>
      </c>
    </row>
    <row r="33" spans="2:19" ht="60" x14ac:dyDescent="0.2">
      <c r="B33" s="134"/>
      <c r="C33" s="134"/>
      <c r="D33" s="102"/>
      <c r="E33" s="44">
        <v>43831</v>
      </c>
      <c r="F33" s="44">
        <v>44196</v>
      </c>
      <c r="G33" s="15" t="s">
        <v>48</v>
      </c>
      <c r="H33" s="46">
        <v>1</v>
      </c>
      <c r="I33" s="46">
        <v>1</v>
      </c>
      <c r="J33" s="46">
        <v>1</v>
      </c>
      <c r="K33" s="78">
        <f t="shared" si="0"/>
        <v>1</v>
      </c>
      <c r="L33" s="85">
        <f t="shared" si="1"/>
        <v>0.83333333333333337</v>
      </c>
      <c r="M33" s="51">
        <f t="shared" si="2"/>
        <v>1</v>
      </c>
      <c r="N33" s="73">
        <v>0</v>
      </c>
      <c r="O33" s="45">
        <f>120000+43000</f>
        <v>163000</v>
      </c>
      <c r="P33" s="45">
        <v>162720</v>
      </c>
      <c r="Q33" s="45">
        <v>0</v>
      </c>
      <c r="R33" s="46">
        <f t="shared" si="3"/>
        <v>0.99828220858895711</v>
      </c>
      <c r="S33" s="51" t="str">
        <f t="shared" si="4"/>
        <v xml:space="preserve"> -</v>
      </c>
    </row>
    <row r="34" spans="2:19" ht="75.95" customHeight="1" x14ac:dyDescent="0.2">
      <c r="B34" s="134"/>
      <c r="C34" s="134"/>
      <c r="D34" s="102"/>
      <c r="E34" s="44">
        <v>43831</v>
      </c>
      <c r="F34" s="44">
        <v>44196</v>
      </c>
      <c r="G34" s="15" t="s">
        <v>49</v>
      </c>
      <c r="H34" s="45">
        <v>1656</v>
      </c>
      <c r="I34" s="45">
        <v>1656</v>
      </c>
      <c r="J34" s="45">
        <v>1584</v>
      </c>
      <c r="K34" s="78">
        <f t="shared" si="0"/>
        <v>0.95652173913043481</v>
      </c>
      <c r="L34" s="85">
        <f t="shared" si="1"/>
        <v>0.83333333333333337</v>
      </c>
      <c r="M34" s="51">
        <f t="shared" si="2"/>
        <v>0.95652173913043481</v>
      </c>
      <c r="N34" s="73">
        <v>0</v>
      </c>
      <c r="O34" s="45">
        <v>6138220.3360000001</v>
      </c>
      <c r="P34" s="45">
        <f>2717150+1181349</f>
        <v>3898499</v>
      </c>
      <c r="Q34" s="45">
        <v>0</v>
      </c>
      <c r="R34" s="46">
        <f t="shared" si="3"/>
        <v>0.63511877818000828</v>
      </c>
      <c r="S34" s="51" t="str">
        <f t="shared" si="4"/>
        <v xml:space="preserve"> -</v>
      </c>
    </row>
    <row r="35" spans="2:19" ht="75" x14ac:dyDescent="0.2">
      <c r="B35" s="134"/>
      <c r="C35" s="134"/>
      <c r="D35" s="102"/>
      <c r="E35" s="44">
        <v>43831</v>
      </c>
      <c r="F35" s="44">
        <v>44196</v>
      </c>
      <c r="G35" s="15" t="s">
        <v>50</v>
      </c>
      <c r="H35" s="45">
        <v>3</v>
      </c>
      <c r="I35" s="45">
        <v>3</v>
      </c>
      <c r="J35" s="45">
        <v>0</v>
      </c>
      <c r="K35" s="78">
        <f t="shared" si="0"/>
        <v>0</v>
      </c>
      <c r="L35" s="85">
        <f t="shared" si="1"/>
        <v>0.83333333333333337</v>
      </c>
      <c r="M35" s="51">
        <f t="shared" si="2"/>
        <v>0</v>
      </c>
      <c r="N35" s="73">
        <v>0</v>
      </c>
      <c r="O35" s="45">
        <v>400000</v>
      </c>
      <c r="P35" s="45">
        <v>0</v>
      </c>
      <c r="Q35" s="45">
        <v>0</v>
      </c>
      <c r="R35" s="46">
        <f t="shared" si="3"/>
        <v>0</v>
      </c>
      <c r="S35" s="51" t="str">
        <f t="shared" si="4"/>
        <v xml:space="preserve"> -</v>
      </c>
    </row>
    <row r="36" spans="2:19" ht="90" x14ac:dyDescent="0.2">
      <c r="B36" s="134"/>
      <c r="C36" s="134"/>
      <c r="D36" s="102"/>
      <c r="E36" s="44">
        <v>43831</v>
      </c>
      <c r="F36" s="44">
        <v>44196</v>
      </c>
      <c r="G36" s="15" t="s">
        <v>51</v>
      </c>
      <c r="H36" s="45">
        <v>1</v>
      </c>
      <c r="I36" s="45">
        <v>1</v>
      </c>
      <c r="J36" s="45">
        <v>1</v>
      </c>
      <c r="K36" s="78">
        <f t="shared" si="0"/>
        <v>1</v>
      </c>
      <c r="L36" s="85">
        <f t="shared" si="1"/>
        <v>0.83333333333333337</v>
      </c>
      <c r="M36" s="51">
        <f t="shared" si="2"/>
        <v>1</v>
      </c>
      <c r="N36" s="73">
        <v>0</v>
      </c>
      <c r="O36" s="45">
        <v>390000</v>
      </c>
      <c r="P36" s="45">
        <f>120000+441</f>
        <v>120441</v>
      </c>
      <c r="Q36" s="45">
        <v>0</v>
      </c>
      <c r="R36" s="46">
        <f t="shared" si="3"/>
        <v>0.30882307692307692</v>
      </c>
      <c r="S36" s="51" t="str">
        <f t="shared" si="4"/>
        <v xml:space="preserve"> -</v>
      </c>
    </row>
    <row r="37" spans="2:19" ht="90.75" thickBot="1" x14ac:dyDescent="0.25">
      <c r="B37" s="134"/>
      <c r="C37" s="134"/>
      <c r="D37" s="103"/>
      <c r="E37" s="52">
        <v>43831</v>
      </c>
      <c r="F37" s="52">
        <v>44196</v>
      </c>
      <c r="G37" s="17" t="s">
        <v>52</v>
      </c>
      <c r="H37" s="53">
        <v>1</v>
      </c>
      <c r="I37" s="53">
        <v>1</v>
      </c>
      <c r="J37" s="53">
        <v>0.5</v>
      </c>
      <c r="K37" s="80">
        <f t="shared" si="0"/>
        <v>0.5</v>
      </c>
      <c r="L37" s="86">
        <f t="shared" si="1"/>
        <v>0.83333333333333337</v>
      </c>
      <c r="M37" s="55">
        <f t="shared" si="2"/>
        <v>0.5</v>
      </c>
      <c r="N37" s="74">
        <v>0</v>
      </c>
      <c r="O37" s="53">
        <v>220000</v>
      </c>
      <c r="P37" s="53">
        <f>140000+70000</f>
        <v>210000</v>
      </c>
      <c r="Q37" s="53">
        <v>0</v>
      </c>
      <c r="R37" s="54">
        <f t="shared" si="3"/>
        <v>0.95454545454545459</v>
      </c>
      <c r="S37" s="55" t="str">
        <f t="shared" si="4"/>
        <v xml:space="preserve"> -</v>
      </c>
    </row>
    <row r="38" spans="2:19" ht="90" x14ac:dyDescent="0.2">
      <c r="B38" s="134"/>
      <c r="C38" s="134"/>
      <c r="D38" s="140" t="s">
        <v>105</v>
      </c>
      <c r="E38" s="67">
        <v>43831</v>
      </c>
      <c r="F38" s="67">
        <v>44196</v>
      </c>
      <c r="G38" s="18" t="s">
        <v>53</v>
      </c>
      <c r="H38" s="68">
        <v>1</v>
      </c>
      <c r="I38" s="68">
        <v>1</v>
      </c>
      <c r="J38" s="68">
        <v>1</v>
      </c>
      <c r="K38" s="81">
        <f t="shared" si="0"/>
        <v>1</v>
      </c>
      <c r="L38" s="88">
        <f t="shared" si="1"/>
        <v>0.83333333333333337</v>
      </c>
      <c r="M38" s="70">
        <f t="shared" si="2"/>
        <v>1</v>
      </c>
      <c r="N38" s="76">
        <v>0</v>
      </c>
      <c r="O38" s="68">
        <f>6181820-5987220-97063-1000</f>
        <v>96537</v>
      </c>
      <c r="P38" s="68">
        <f>540120-374635-97063</f>
        <v>68422</v>
      </c>
      <c r="Q38" s="68">
        <v>0</v>
      </c>
      <c r="R38" s="69">
        <f t="shared" si="3"/>
        <v>0.7087645151599905</v>
      </c>
      <c r="S38" s="70" t="str">
        <f t="shared" si="4"/>
        <v xml:space="preserve"> -</v>
      </c>
    </row>
    <row r="39" spans="2:19" ht="60" x14ac:dyDescent="0.2">
      <c r="B39" s="134"/>
      <c r="C39" s="134"/>
      <c r="D39" s="137"/>
      <c r="E39" s="44">
        <v>43831</v>
      </c>
      <c r="F39" s="44">
        <v>44196</v>
      </c>
      <c r="G39" s="15" t="s">
        <v>54</v>
      </c>
      <c r="H39" s="45">
        <v>1</v>
      </c>
      <c r="I39" s="45">
        <v>1</v>
      </c>
      <c r="J39" s="45">
        <v>0</v>
      </c>
      <c r="K39" s="78">
        <f t="shared" si="0"/>
        <v>0</v>
      </c>
      <c r="L39" s="85">
        <f t="shared" si="1"/>
        <v>0.83333333333333337</v>
      </c>
      <c r="M39" s="51">
        <f t="shared" si="2"/>
        <v>0</v>
      </c>
      <c r="N39" s="73">
        <v>0</v>
      </c>
      <c r="O39" s="45">
        <v>0</v>
      </c>
      <c r="P39" s="45">
        <v>0</v>
      </c>
      <c r="Q39" s="45">
        <v>0</v>
      </c>
      <c r="R39" s="46" t="str">
        <f t="shared" si="3"/>
        <v xml:space="preserve"> -</v>
      </c>
      <c r="S39" s="51" t="str">
        <f t="shared" si="4"/>
        <v xml:space="preserve"> -</v>
      </c>
    </row>
    <row r="40" spans="2:19" ht="45" x14ac:dyDescent="0.2">
      <c r="B40" s="134"/>
      <c r="C40" s="134"/>
      <c r="D40" s="137"/>
      <c r="E40" s="44">
        <v>43831</v>
      </c>
      <c r="F40" s="44">
        <v>44196</v>
      </c>
      <c r="G40" s="15" t="s">
        <v>55</v>
      </c>
      <c r="H40" s="46">
        <v>1</v>
      </c>
      <c r="I40" s="46">
        <v>1</v>
      </c>
      <c r="J40" s="46">
        <v>1</v>
      </c>
      <c r="K40" s="78">
        <f t="shared" si="0"/>
        <v>1</v>
      </c>
      <c r="L40" s="85">
        <f t="shared" si="1"/>
        <v>0.83333333333333337</v>
      </c>
      <c r="M40" s="51">
        <f t="shared" si="2"/>
        <v>1</v>
      </c>
      <c r="N40" s="73">
        <v>0</v>
      </c>
      <c r="O40" s="45">
        <f>97063+1000</f>
        <v>98063</v>
      </c>
      <c r="P40" s="45">
        <f>97063+211</f>
        <v>97274</v>
      </c>
      <c r="Q40" s="45">
        <v>0</v>
      </c>
      <c r="R40" s="46">
        <f t="shared" si="3"/>
        <v>0.9919541519227435</v>
      </c>
      <c r="S40" s="51" t="str">
        <f t="shared" si="4"/>
        <v xml:space="preserve"> -</v>
      </c>
    </row>
    <row r="41" spans="2:19" ht="75.75" thickBot="1" x14ac:dyDescent="0.25">
      <c r="B41" s="134"/>
      <c r="C41" s="134"/>
      <c r="D41" s="141"/>
      <c r="E41" s="63">
        <v>43831</v>
      </c>
      <c r="F41" s="63">
        <v>44196</v>
      </c>
      <c r="G41" s="16" t="s">
        <v>56</v>
      </c>
      <c r="H41" s="64">
        <v>1</v>
      </c>
      <c r="I41" s="64">
        <v>1</v>
      </c>
      <c r="J41" s="64">
        <v>1</v>
      </c>
      <c r="K41" s="79">
        <f t="shared" si="0"/>
        <v>1</v>
      </c>
      <c r="L41" s="87">
        <f t="shared" si="1"/>
        <v>0.83333333333333337</v>
      </c>
      <c r="M41" s="66">
        <f t="shared" si="2"/>
        <v>1</v>
      </c>
      <c r="N41" s="75">
        <v>0</v>
      </c>
      <c r="O41" s="64">
        <v>5987220</v>
      </c>
      <c r="P41" s="64">
        <f>374635+673546</f>
        <v>1048181</v>
      </c>
      <c r="Q41" s="64">
        <v>0</v>
      </c>
      <c r="R41" s="65">
        <f t="shared" si="3"/>
        <v>0.17506973186219982</v>
      </c>
      <c r="S41" s="66" t="str">
        <f t="shared" si="4"/>
        <v xml:space="preserve"> -</v>
      </c>
    </row>
    <row r="42" spans="2:19" ht="45" customHeight="1" x14ac:dyDescent="0.2">
      <c r="B42" s="134"/>
      <c r="C42" s="134"/>
      <c r="D42" s="101" t="s">
        <v>106</v>
      </c>
      <c r="E42" s="47">
        <v>43831</v>
      </c>
      <c r="F42" s="47">
        <v>44196</v>
      </c>
      <c r="G42" s="14" t="s">
        <v>57</v>
      </c>
      <c r="H42" s="48">
        <v>1</v>
      </c>
      <c r="I42" s="48">
        <v>1</v>
      </c>
      <c r="J42" s="48">
        <v>1</v>
      </c>
      <c r="K42" s="77">
        <f t="shared" si="0"/>
        <v>1</v>
      </c>
      <c r="L42" s="84">
        <f t="shared" si="1"/>
        <v>0.83333333333333337</v>
      </c>
      <c r="M42" s="50">
        <f t="shared" si="2"/>
        <v>1</v>
      </c>
      <c r="N42" s="72">
        <v>0</v>
      </c>
      <c r="O42" s="48">
        <f>139000-40000-30000-30000-10000</f>
        <v>29000</v>
      </c>
      <c r="P42" s="48">
        <f>128300-103000</f>
        <v>25300</v>
      </c>
      <c r="Q42" s="48">
        <v>0</v>
      </c>
      <c r="R42" s="49">
        <f t="shared" si="3"/>
        <v>0.87241379310344824</v>
      </c>
      <c r="S42" s="50" t="str">
        <f t="shared" si="4"/>
        <v xml:space="preserve"> -</v>
      </c>
    </row>
    <row r="43" spans="2:19" ht="90" x14ac:dyDescent="0.2">
      <c r="B43" s="134"/>
      <c r="C43" s="134"/>
      <c r="D43" s="102"/>
      <c r="E43" s="44">
        <v>43831</v>
      </c>
      <c r="F43" s="44">
        <v>44196</v>
      </c>
      <c r="G43" s="15" t="s">
        <v>58</v>
      </c>
      <c r="H43" s="45">
        <v>600</v>
      </c>
      <c r="I43" s="45">
        <v>600</v>
      </c>
      <c r="J43" s="45">
        <v>489</v>
      </c>
      <c r="K43" s="78">
        <f t="shared" si="0"/>
        <v>0.81499999999999995</v>
      </c>
      <c r="L43" s="85">
        <f t="shared" si="1"/>
        <v>0.83333333333333337</v>
      </c>
      <c r="M43" s="51">
        <f t="shared" si="2"/>
        <v>0.81499999999999995</v>
      </c>
      <c r="N43" s="73">
        <v>0</v>
      </c>
      <c r="O43" s="45">
        <f>40000-15000</f>
        <v>25000</v>
      </c>
      <c r="P43" s="45">
        <v>25000</v>
      </c>
      <c r="Q43" s="45">
        <v>0</v>
      </c>
      <c r="R43" s="46">
        <f t="shared" si="3"/>
        <v>1</v>
      </c>
      <c r="S43" s="51" t="str">
        <f t="shared" si="4"/>
        <v xml:space="preserve"> -</v>
      </c>
    </row>
    <row r="44" spans="2:19" ht="105" x14ac:dyDescent="0.2">
      <c r="B44" s="134"/>
      <c r="C44" s="134"/>
      <c r="D44" s="102"/>
      <c r="E44" s="44">
        <v>43831</v>
      </c>
      <c r="F44" s="44">
        <v>44196</v>
      </c>
      <c r="G44" s="15" t="s">
        <v>59</v>
      </c>
      <c r="H44" s="45">
        <v>1</v>
      </c>
      <c r="I44" s="45">
        <v>1</v>
      </c>
      <c r="J44" s="45">
        <v>1</v>
      </c>
      <c r="K44" s="78">
        <f t="shared" si="0"/>
        <v>1</v>
      </c>
      <c r="L44" s="85">
        <f t="shared" si="1"/>
        <v>0.83333333333333337</v>
      </c>
      <c r="M44" s="51">
        <f t="shared" si="2"/>
        <v>1</v>
      </c>
      <c r="N44" s="73">
        <v>0</v>
      </c>
      <c r="O44" s="45">
        <v>30000</v>
      </c>
      <c r="P44" s="45">
        <v>29000</v>
      </c>
      <c r="Q44" s="45">
        <v>0</v>
      </c>
      <c r="R44" s="46">
        <f t="shared" si="3"/>
        <v>0.96666666666666667</v>
      </c>
      <c r="S44" s="51" t="str">
        <f t="shared" si="4"/>
        <v xml:space="preserve"> -</v>
      </c>
    </row>
    <row r="45" spans="2:19" ht="75" x14ac:dyDescent="0.2">
      <c r="B45" s="134"/>
      <c r="C45" s="134"/>
      <c r="D45" s="102"/>
      <c r="E45" s="44">
        <v>43831</v>
      </c>
      <c r="F45" s="44">
        <v>44196</v>
      </c>
      <c r="G45" s="15" t="s">
        <v>60</v>
      </c>
      <c r="H45" s="46">
        <v>1</v>
      </c>
      <c r="I45" s="46">
        <v>1</v>
      </c>
      <c r="J45" s="46">
        <v>1</v>
      </c>
      <c r="K45" s="78">
        <f t="shared" si="0"/>
        <v>1</v>
      </c>
      <c r="L45" s="85">
        <f t="shared" si="1"/>
        <v>0.83333333333333337</v>
      </c>
      <c r="M45" s="51">
        <f t="shared" si="2"/>
        <v>1</v>
      </c>
      <c r="N45" s="73">
        <v>0</v>
      </c>
      <c r="O45" s="45">
        <v>30000</v>
      </c>
      <c r="P45" s="45">
        <v>29000</v>
      </c>
      <c r="Q45" s="45">
        <v>0</v>
      </c>
      <c r="R45" s="46">
        <f t="shared" si="3"/>
        <v>0.96666666666666667</v>
      </c>
      <c r="S45" s="51" t="str">
        <f t="shared" si="4"/>
        <v xml:space="preserve"> -</v>
      </c>
    </row>
    <row r="46" spans="2:19" ht="90" x14ac:dyDescent="0.2">
      <c r="B46" s="134"/>
      <c r="C46" s="134"/>
      <c r="D46" s="102"/>
      <c r="E46" s="44">
        <v>43831</v>
      </c>
      <c r="F46" s="44">
        <v>44196</v>
      </c>
      <c r="G46" s="15" t="s">
        <v>61</v>
      </c>
      <c r="H46" s="45">
        <v>1</v>
      </c>
      <c r="I46" s="45">
        <v>1</v>
      </c>
      <c r="J46" s="45">
        <v>1</v>
      </c>
      <c r="K46" s="78">
        <f t="shared" si="0"/>
        <v>1</v>
      </c>
      <c r="L46" s="85">
        <f t="shared" si="1"/>
        <v>0.83333333333333337</v>
      </c>
      <c r="M46" s="51">
        <f t="shared" si="2"/>
        <v>1</v>
      </c>
      <c r="N46" s="73">
        <v>0</v>
      </c>
      <c r="O46" s="45">
        <v>10000</v>
      </c>
      <c r="P46" s="45">
        <v>8000</v>
      </c>
      <c r="Q46" s="45">
        <v>0</v>
      </c>
      <c r="R46" s="46">
        <f t="shared" si="3"/>
        <v>0.8</v>
      </c>
      <c r="S46" s="51" t="str">
        <f t="shared" si="4"/>
        <v xml:space="preserve"> -</v>
      </c>
    </row>
    <row r="47" spans="2:19" ht="60" x14ac:dyDescent="0.2">
      <c r="B47" s="134"/>
      <c r="C47" s="134"/>
      <c r="D47" s="102"/>
      <c r="E47" s="44">
        <v>43831</v>
      </c>
      <c r="F47" s="44">
        <v>44196</v>
      </c>
      <c r="G47" s="15" t="s">
        <v>62</v>
      </c>
      <c r="H47" s="45">
        <v>1</v>
      </c>
      <c r="I47" s="45">
        <v>1</v>
      </c>
      <c r="J47" s="45">
        <v>1</v>
      </c>
      <c r="K47" s="78">
        <f t="shared" si="0"/>
        <v>1</v>
      </c>
      <c r="L47" s="85">
        <f t="shared" si="1"/>
        <v>0.83333333333333337</v>
      </c>
      <c r="M47" s="51">
        <f t="shared" si="2"/>
        <v>1</v>
      </c>
      <c r="N47" s="73">
        <v>0</v>
      </c>
      <c r="O47" s="45">
        <v>15000</v>
      </c>
      <c r="P47" s="45">
        <v>12000</v>
      </c>
      <c r="Q47" s="45">
        <v>0</v>
      </c>
      <c r="R47" s="46">
        <f t="shared" si="3"/>
        <v>0.8</v>
      </c>
      <c r="S47" s="51" t="str">
        <f t="shared" si="4"/>
        <v xml:space="preserve"> -</v>
      </c>
    </row>
    <row r="48" spans="2:19" ht="30.75" thickBot="1" x14ac:dyDescent="0.25">
      <c r="B48" s="134"/>
      <c r="C48" s="134"/>
      <c r="D48" s="103"/>
      <c r="E48" s="52">
        <v>43831</v>
      </c>
      <c r="F48" s="52">
        <v>44196</v>
      </c>
      <c r="G48" s="17" t="s">
        <v>63</v>
      </c>
      <c r="H48" s="53">
        <v>1</v>
      </c>
      <c r="I48" s="53">
        <v>0</v>
      </c>
      <c r="J48" s="53">
        <v>0</v>
      </c>
      <c r="K48" s="80" t="e">
        <f t="shared" si="0"/>
        <v>#DIV/0!</v>
      </c>
      <c r="L48" s="86">
        <f t="shared" si="1"/>
        <v>0.83333333333333337</v>
      </c>
      <c r="M48" s="55" t="str">
        <f t="shared" si="2"/>
        <v xml:space="preserve"> -</v>
      </c>
      <c r="N48" s="74">
        <v>0</v>
      </c>
      <c r="O48" s="53">
        <v>0</v>
      </c>
      <c r="P48" s="53">
        <v>0</v>
      </c>
      <c r="Q48" s="53">
        <v>0</v>
      </c>
      <c r="R48" s="54" t="str">
        <f t="shared" si="3"/>
        <v xml:space="preserve"> -</v>
      </c>
      <c r="S48" s="55" t="str">
        <f t="shared" si="4"/>
        <v xml:space="preserve"> -</v>
      </c>
    </row>
    <row r="49" spans="2:19" ht="60" x14ac:dyDescent="0.2">
      <c r="B49" s="134"/>
      <c r="C49" s="134"/>
      <c r="D49" s="140" t="s">
        <v>107</v>
      </c>
      <c r="E49" s="67">
        <v>43831</v>
      </c>
      <c r="F49" s="67">
        <v>44196</v>
      </c>
      <c r="G49" s="18" t="s">
        <v>64</v>
      </c>
      <c r="H49" s="68">
        <v>1</v>
      </c>
      <c r="I49" s="68">
        <v>0</v>
      </c>
      <c r="J49" s="68">
        <v>0</v>
      </c>
      <c r="K49" s="81" t="e">
        <f t="shared" si="0"/>
        <v>#DIV/0!</v>
      </c>
      <c r="L49" s="88">
        <f t="shared" si="1"/>
        <v>0.83333333333333337</v>
      </c>
      <c r="M49" s="70" t="str">
        <f t="shared" si="2"/>
        <v xml:space="preserve"> -</v>
      </c>
      <c r="N49" s="76">
        <v>0</v>
      </c>
      <c r="O49" s="68">
        <v>0</v>
      </c>
      <c r="P49" s="68">
        <v>0</v>
      </c>
      <c r="Q49" s="68">
        <v>0</v>
      </c>
      <c r="R49" s="69" t="str">
        <f t="shared" si="3"/>
        <v xml:space="preserve"> -</v>
      </c>
      <c r="S49" s="70" t="str">
        <f t="shared" si="4"/>
        <v xml:space="preserve"> -</v>
      </c>
    </row>
    <row r="50" spans="2:19" ht="135" x14ac:dyDescent="0.2">
      <c r="B50" s="134"/>
      <c r="C50" s="134"/>
      <c r="D50" s="137"/>
      <c r="E50" s="44">
        <v>43831</v>
      </c>
      <c r="F50" s="44">
        <v>44196</v>
      </c>
      <c r="G50" s="15" t="s">
        <v>65</v>
      </c>
      <c r="H50" s="45">
        <v>14</v>
      </c>
      <c r="I50" s="45">
        <v>2</v>
      </c>
      <c r="J50" s="45">
        <v>3</v>
      </c>
      <c r="K50" s="78">
        <f t="shared" si="0"/>
        <v>1.5</v>
      </c>
      <c r="L50" s="85">
        <f t="shared" si="1"/>
        <v>0.83333333333333337</v>
      </c>
      <c r="M50" s="51">
        <f t="shared" si="2"/>
        <v>1</v>
      </c>
      <c r="N50" s="73">
        <v>0</v>
      </c>
      <c r="O50" s="45">
        <v>20000</v>
      </c>
      <c r="P50" s="45">
        <f>2000+15000</f>
        <v>17000</v>
      </c>
      <c r="Q50" s="45">
        <v>0</v>
      </c>
      <c r="R50" s="46">
        <f t="shared" si="3"/>
        <v>0.85</v>
      </c>
      <c r="S50" s="51" t="str">
        <f t="shared" si="4"/>
        <v xml:space="preserve"> -</v>
      </c>
    </row>
    <row r="51" spans="2:19" ht="105" x14ac:dyDescent="0.2">
      <c r="B51" s="134"/>
      <c r="C51" s="134"/>
      <c r="D51" s="137"/>
      <c r="E51" s="44">
        <v>43831</v>
      </c>
      <c r="F51" s="44">
        <v>44196</v>
      </c>
      <c r="G51" s="15" t="s">
        <v>66</v>
      </c>
      <c r="H51" s="45">
        <v>1</v>
      </c>
      <c r="I51" s="45">
        <v>1</v>
      </c>
      <c r="J51" s="45">
        <v>1</v>
      </c>
      <c r="K51" s="78">
        <f t="shared" si="0"/>
        <v>1</v>
      </c>
      <c r="L51" s="85">
        <f t="shared" si="1"/>
        <v>0.83333333333333337</v>
      </c>
      <c r="M51" s="51">
        <f t="shared" si="2"/>
        <v>1</v>
      </c>
      <c r="N51" s="73">
        <v>0</v>
      </c>
      <c r="O51" s="45">
        <v>12000</v>
      </c>
      <c r="P51" s="45">
        <v>4500</v>
      </c>
      <c r="Q51" s="45">
        <v>0</v>
      </c>
      <c r="R51" s="46">
        <f t="shared" si="3"/>
        <v>0.375</v>
      </c>
      <c r="S51" s="51" t="str">
        <f t="shared" si="4"/>
        <v xml:space="preserve"> -</v>
      </c>
    </row>
    <row r="52" spans="2:19" ht="60.75" thickBot="1" x14ac:dyDescent="0.25">
      <c r="B52" s="134"/>
      <c r="C52" s="134"/>
      <c r="D52" s="141"/>
      <c r="E52" s="63">
        <v>43831</v>
      </c>
      <c r="F52" s="63">
        <v>44196</v>
      </c>
      <c r="G52" s="16" t="s">
        <v>67</v>
      </c>
      <c r="H52" s="65">
        <v>1</v>
      </c>
      <c r="I52" s="65">
        <v>1</v>
      </c>
      <c r="J52" s="65">
        <v>1</v>
      </c>
      <c r="K52" s="79">
        <f t="shared" si="0"/>
        <v>1</v>
      </c>
      <c r="L52" s="87">
        <f t="shared" si="1"/>
        <v>0.83333333333333337</v>
      </c>
      <c r="M52" s="66">
        <f t="shared" si="2"/>
        <v>1</v>
      </c>
      <c r="N52" s="75">
        <v>0</v>
      </c>
      <c r="O52" s="64">
        <v>26000</v>
      </c>
      <c r="P52" s="64">
        <v>4400</v>
      </c>
      <c r="Q52" s="64">
        <v>0</v>
      </c>
      <c r="R52" s="65">
        <f t="shared" si="3"/>
        <v>0.16923076923076924</v>
      </c>
      <c r="S52" s="66" t="str">
        <f t="shared" si="4"/>
        <v xml:space="preserve"> -</v>
      </c>
    </row>
    <row r="53" spans="2:19" ht="75" x14ac:dyDescent="0.2">
      <c r="B53" s="134"/>
      <c r="C53" s="134"/>
      <c r="D53" s="101" t="s">
        <v>108</v>
      </c>
      <c r="E53" s="47">
        <v>43831</v>
      </c>
      <c r="F53" s="47">
        <v>44196</v>
      </c>
      <c r="G53" s="14" t="s">
        <v>68</v>
      </c>
      <c r="H53" s="48">
        <v>1</v>
      </c>
      <c r="I53" s="48">
        <v>1</v>
      </c>
      <c r="J53" s="48">
        <v>1</v>
      </c>
      <c r="K53" s="77">
        <f t="shared" si="0"/>
        <v>1</v>
      </c>
      <c r="L53" s="84">
        <f t="shared" si="1"/>
        <v>0.83333333333333337</v>
      </c>
      <c r="M53" s="50">
        <f t="shared" si="2"/>
        <v>1</v>
      </c>
      <c r="N53" s="72">
        <v>0</v>
      </c>
      <c r="O53" s="48">
        <f>1450000-80000-650000-300000</f>
        <v>420000</v>
      </c>
      <c r="P53" s="48">
        <f>951806-80000-626300</f>
        <v>245506</v>
      </c>
      <c r="Q53" s="48">
        <v>0</v>
      </c>
      <c r="R53" s="49">
        <f t="shared" si="3"/>
        <v>0.58453809523809519</v>
      </c>
      <c r="S53" s="50" t="str">
        <f t="shared" si="4"/>
        <v xml:space="preserve"> -</v>
      </c>
    </row>
    <row r="54" spans="2:19" ht="60" x14ac:dyDescent="0.2">
      <c r="B54" s="134"/>
      <c r="C54" s="134"/>
      <c r="D54" s="102"/>
      <c r="E54" s="44">
        <v>43831</v>
      </c>
      <c r="F54" s="44">
        <v>44196</v>
      </c>
      <c r="G54" s="15" t="s">
        <v>69</v>
      </c>
      <c r="H54" s="45">
        <v>284</v>
      </c>
      <c r="I54" s="45">
        <v>284</v>
      </c>
      <c r="J54" s="45">
        <v>283</v>
      </c>
      <c r="K54" s="78">
        <f t="shared" si="0"/>
        <v>0.99647887323943662</v>
      </c>
      <c r="L54" s="85">
        <f t="shared" si="1"/>
        <v>0.83333333333333337</v>
      </c>
      <c r="M54" s="51">
        <f t="shared" si="2"/>
        <v>0.99647887323943662</v>
      </c>
      <c r="N54" s="73">
        <v>0</v>
      </c>
      <c r="O54" s="45">
        <f>650000+300000</f>
        <v>950000</v>
      </c>
      <c r="P54" s="99">
        <f>626300+291463-1996-5220</f>
        <v>910547</v>
      </c>
      <c r="Q54" s="45">
        <v>0</v>
      </c>
      <c r="R54" s="46">
        <f t="shared" si="3"/>
        <v>0.95847052631578944</v>
      </c>
      <c r="S54" s="51" t="str">
        <f t="shared" si="4"/>
        <v xml:space="preserve"> -</v>
      </c>
    </row>
    <row r="55" spans="2:19" ht="45" x14ac:dyDescent="0.2">
      <c r="B55" s="134"/>
      <c r="C55" s="134"/>
      <c r="D55" s="102"/>
      <c r="E55" s="44">
        <v>43831</v>
      </c>
      <c r="F55" s="44">
        <v>44196</v>
      </c>
      <c r="G55" s="15" t="s">
        <v>70</v>
      </c>
      <c r="H55" s="45">
        <v>1</v>
      </c>
      <c r="I55" s="45">
        <v>0</v>
      </c>
      <c r="J55" s="45">
        <v>0</v>
      </c>
      <c r="K55" s="78" t="e">
        <f t="shared" si="0"/>
        <v>#DIV/0!</v>
      </c>
      <c r="L55" s="85">
        <f t="shared" si="1"/>
        <v>0.83333333333333337</v>
      </c>
      <c r="M55" s="51" t="str">
        <f t="shared" si="2"/>
        <v xml:space="preserve"> -</v>
      </c>
      <c r="N55" s="73">
        <v>0</v>
      </c>
      <c r="O55" s="45">
        <v>0</v>
      </c>
      <c r="P55" s="45">
        <v>0</v>
      </c>
      <c r="Q55" s="45">
        <v>0</v>
      </c>
      <c r="R55" s="46" t="str">
        <f t="shared" si="3"/>
        <v xml:space="preserve"> -</v>
      </c>
      <c r="S55" s="51" t="str">
        <f t="shared" si="4"/>
        <v xml:space="preserve"> -</v>
      </c>
    </row>
    <row r="56" spans="2:19" ht="60.75" thickBot="1" x14ac:dyDescent="0.25">
      <c r="B56" s="134"/>
      <c r="C56" s="134"/>
      <c r="D56" s="103"/>
      <c r="E56" s="52">
        <v>43831</v>
      </c>
      <c r="F56" s="52">
        <v>44196</v>
      </c>
      <c r="G56" s="17" t="s">
        <v>71</v>
      </c>
      <c r="H56" s="54">
        <v>1</v>
      </c>
      <c r="I56" s="54">
        <v>1</v>
      </c>
      <c r="J56" s="54">
        <v>1</v>
      </c>
      <c r="K56" s="80">
        <f t="shared" si="0"/>
        <v>1</v>
      </c>
      <c r="L56" s="86">
        <f t="shared" si="1"/>
        <v>0.83333333333333337</v>
      </c>
      <c r="M56" s="55">
        <f t="shared" si="2"/>
        <v>1</v>
      </c>
      <c r="N56" s="74">
        <v>0</v>
      </c>
      <c r="O56" s="53">
        <v>80000</v>
      </c>
      <c r="P56" s="53">
        <v>80000</v>
      </c>
      <c r="Q56" s="53">
        <v>0</v>
      </c>
      <c r="R56" s="54">
        <f t="shared" si="3"/>
        <v>1</v>
      </c>
      <c r="S56" s="55" t="str">
        <f t="shared" si="4"/>
        <v xml:space="preserve"> -</v>
      </c>
    </row>
    <row r="57" spans="2:19" ht="90" x14ac:dyDescent="0.2">
      <c r="B57" s="134"/>
      <c r="C57" s="134"/>
      <c r="D57" s="140" t="s">
        <v>109</v>
      </c>
      <c r="E57" s="67">
        <v>43831</v>
      </c>
      <c r="F57" s="67">
        <v>44196</v>
      </c>
      <c r="G57" s="18" t="s">
        <v>72</v>
      </c>
      <c r="H57" s="68">
        <v>250</v>
      </c>
      <c r="I57" s="68">
        <v>250</v>
      </c>
      <c r="J57" s="68">
        <v>220</v>
      </c>
      <c r="K57" s="81">
        <f t="shared" si="0"/>
        <v>0.88</v>
      </c>
      <c r="L57" s="88">
        <f t="shared" si="1"/>
        <v>0.83333333333333337</v>
      </c>
      <c r="M57" s="70">
        <f t="shared" si="2"/>
        <v>0.88</v>
      </c>
      <c r="N57" s="76">
        <v>0</v>
      </c>
      <c r="O57" s="68">
        <f>961700-20000-50000-60000-16000-74000</f>
        <v>741700</v>
      </c>
      <c r="P57" s="68">
        <f>624300-20000-50000-10000-16000</f>
        <v>528300</v>
      </c>
      <c r="Q57" s="68">
        <v>0</v>
      </c>
      <c r="R57" s="69">
        <f t="shared" si="3"/>
        <v>0.71228259404071725</v>
      </c>
      <c r="S57" s="70" t="str">
        <f t="shared" si="4"/>
        <v xml:space="preserve"> -</v>
      </c>
    </row>
    <row r="58" spans="2:19" ht="60" customHeight="1" x14ac:dyDescent="0.2">
      <c r="B58" s="134"/>
      <c r="C58" s="134"/>
      <c r="D58" s="137"/>
      <c r="E58" s="44">
        <v>43831</v>
      </c>
      <c r="F58" s="44">
        <v>44196</v>
      </c>
      <c r="G58" s="15" t="s">
        <v>73</v>
      </c>
      <c r="H58" s="45">
        <v>1</v>
      </c>
      <c r="I58" s="45">
        <v>1</v>
      </c>
      <c r="J58" s="45">
        <v>0.5</v>
      </c>
      <c r="K58" s="78">
        <f t="shared" si="0"/>
        <v>0.5</v>
      </c>
      <c r="L58" s="85">
        <f t="shared" si="1"/>
        <v>0.83333333333333337</v>
      </c>
      <c r="M58" s="51">
        <f t="shared" si="2"/>
        <v>0.5</v>
      </c>
      <c r="N58" s="73">
        <v>0</v>
      </c>
      <c r="O58" s="45">
        <f>74000+20000</f>
        <v>94000</v>
      </c>
      <c r="P58" s="45">
        <v>20000</v>
      </c>
      <c r="Q58" s="45">
        <v>0</v>
      </c>
      <c r="R58" s="46">
        <f t="shared" si="3"/>
        <v>0.21276595744680851</v>
      </c>
      <c r="S58" s="51" t="str">
        <f t="shared" si="4"/>
        <v xml:space="preserve"> -</v>
      </c>
    </row>
    <row r="59" spans="2:19" ht="105" x14ac:dyDescent="0.2">
      <c r="B59" s="134"/>
      <c r="C59" s="134"/>
      <c r="D59" s="137"/>
      <c r="E59" s="44">
        <v>43831</v>
      </c>
      <c r="F59" s="44">
        <v>44196</v>
      </c>
      <c r="G59" s="15" t="s">
        <v>74</v>
      </c>
      <c r="H59" s="45">
        <v>1</v>
      </c>
      <c r="I59" s="45">
        <v>1</v>
      </c>
      <c r="J59" s="45">
        <v>0.5</v>
      </c>
      <c r="K59" s="78">
        <f t="shared" si="0"/>
        <v>0.5</v>
      </c>
      <c r="L59" s="85">
        <f t="shared" si="1"/>
        <v>0.83333333333333337</v>
      </c>
      <c r="M59" s="51">
        <f t="shared" si="2"/>
        <v>0.5</v>
      </c>
      <c r="N59" s="73">
        <v>0</v>
      </c>
      <c r="O59" s="45">
        <v>60000</v>
      </c>
      <c r="P59" s="45">
        <v>10000</v>
      </c>
      <c r="Q59" s="45">
        <v>0</v>
      </c>
      <c r="R59" s="46">
        <f t="shared" si="3"/>
        <v>0.16666666666666666</v>
      </c>
      <c r="S59" s="51" t="str">
        <f t="shared" si="4"/>
        <v xml:space="preserve"> -</v>
      </c>
    </row>
    <row r="60" spans="2:19" ht="90" x14ac:dyDescent="0.2">
      <c r="B60" s="134"/>
      <c r="C60" s="134"/>
      <c r="D60" s="137"/>
      <c r="E60" s="44">
        <v>43831</v>
      </c>
      <c r="F60" s="44">
        <v>44196</v>
      </c>
      <c r="G60" s="15" t="s">
        <v>75</v>
      </c>
      <c r="H60" s="45">
        <v>200</v>
      </c>
      <c r="I60" s="45">
        <v>200</v>
      </c>
      <c r="J60" s="45">
        <v>200</v>
      </c>
      <c r="K60" s="78">
        <f t="shared" si="0"/>
        <v>1</v>
      </c>
      <c r="L60" s="85">
        <f t="shared" si="1"/>
        <v>0.83333333333333337</v>
      </c>
      <c r="M60" s="51">
        <f t="shared" si="2"/>
        <v>1</v>
      </c>
      <c r="N60" s="73">
        <v>0</v>
      </c>
      <c r="O60" s="45">
        <v>16000</v>
      </c>
      <c r="P60" s="45">
        <v>16000</v>
      </c>
      <c r="Q60" s="45">
        <v>0</v>
      </c>
      <c r="R60" s="46">
        <f t="shared" si="3"/>
        <v>1</v>
      </c>
      <c r="S60" s="51" t="str">
        <f t="shared" si="4"/>
        <v xml:space="preserve"> -</v>
      </c>
    </row>
    <row r="61" spans="2:19" ht="75.75" thickBot="1" x14ac:dyDescent="0.25">
      <c r="B61" s="135"/>
      <c r="C61" s="135"/>
      <c r="D61" s="138"/>
      <c r="E61" s="52">
        <v>43831</v>
      </c>
      <c r="F61" s="52">
        <v>44196</v>
      </c>
      <c r="G61" s="17" t="s">
        <v>76</v>
      </c>
      <c r="H61" s="53">
        <v>1</v>
      </c>
      <c r="I61" s="53">
        <v>1</v>
      </c>
      <c r="J61" s="53">
        <v>1</v>
      </c>
      <c r="K61" s="80">
        <f t="shared" si="0"/>
        <v>1</v>
      </c>
      <c r="L61" s="86">
        <f t="shared" si="1"/>
        <v>0.83333333333333337</v>
      </c>
      <c r="M61" s="55">
        <f t="shared" si="2"/>
        <v>1</v>
      </c>
      <c r="N61" s="74">
        <v>0</v>
      </c>
      <c r="O61" s="53">
        <v>50000</v>
      </c>
      <c r="P61" s="53">
        <v>50000</v>
      </c>
      <c r="Q61" s="53">
        <v>0</v>
      </c>
      <c r="R61" s="54">
        <f t="shared" si="3"/>
        <v>1</v>
      </c>
      <c r="S61" s="55" t="str">
        <f t="shared" si="4"/>
        <v xml:space="preserve"> -</v>
      </c>
    </row>
    <row r="62" spans="2:19" ht="12.95" customHeight="1" thickBot="1" x14ac:dyDescent="0.25">
      <c r="B62" s="26"/>
      <c r="C62" s="27"/>
      <c r="D62" s="27"/>
      <c r="E62" s="28"/>
      <c r="F62" s="28"/>
      <c r="G62" s="29"/>
      <c r="H62" s="30"/>
      <c r="I62" s="30"/>
      <c r="J62" s="30"/>
      <c r="K62" s="31"/>
      <c r="L62" s="32"/>
      <c r="M62" s="32"/>
      <c r="N62" s="33"/>
      <c r="O62" s="30"/>
      <c r="P62" s="30"/>
      <c r="Q62" s="30"/>
      <c r="R62" s="32"/>
      <c r="S62" s="34"/>
    </row>
    <row r="63" spans="2:19" ht="30" x14ac:dyDescent="0.2">
      <c r="B63" s="133" t="s">
        <v>85</v>
      </c>
      <c r="C63" s="133" t="s">
        <v>84</v>
      </c>
      <c r="D63" s="136" t="s">
        <v>83</v>
      </c>
      <c r="E63" s="47">
        <v>43831</v>
      </c>
      <c r="F63" s="47">
        <v>44196</v>
      </c>
      <c r="G63" s="14" t="s">
        <v>77</v>
      </c>
      <c r="H63" s="48">
        <v>200</v>
      </c>
      <c r="I63" s="48">
        <v>30</v>
      </c>
      <c r="J63" s="48">
        <v>0</v>
      </c>
      <c r="K63" s="77">
        <f t="shared" si="0"/>
        <v>0</v>
      </c>
      <c r="L63" s="84">
        <f t="shared" ref="L63:L77" si="5">DAYS360(E63,$C$8)/DAYS360(E63,F63)</f>
        <v>0.83333333333333337</v>
      </c>
      <c r="M63" s="50">
        <f t="shared" ref="M63:M77" si="6">IF(I63=0," -",IF(K63&gt;100%,100%,K63))</f>
        <v>0</v>
      </c>
      <c r="N63" s="72">
        <v>0</v>
      </c>
      <c r="O63" s="48">
        <f>318000-100000-60000-20000-100000</f>
        <v>38000</v>
      </c>
      <c r="P63" s="48">
        <v>0</v>
      </c>
      <c r="Q63" s="48">
        <v>0</v>
      </c>
      <c r="R63" s="49">
        <f t="shared" si="3"/>
        <v>0</v>
      </c>
      <c r="S63" s="50" t="str">
        <f t="shared" si="4"/>
        <v xml:space="preserve"> -</v>
      </c>
    </row>
    <row r="64" spans="2:19" ht="60" x14ac:dyDescent="0.2">
      <c r="B64" s="134"/>
      <c r="C64" s="134"/>
      <c r="D64" s="137"/>
      <c r="E64" s="44">
        <v>43831</v>
      </c>
      <c r="F64" s="44">
        <v>44196</v>
      </c>
      <c r="G64" s="15" t="s">
        <v>78</v>
      </c>
      <c r="H64" s="45">
        <v>2</v>
      </c>
      <c r="I64" s="45">
        <v>2</v>
      </c>
      <c r="J64" s="45">
        <v>1</v>
      </c>
      <c r="K64" s="78">
        <f t="shared" si="0"/>
        <v>0.5</v>
      </c>
      <c r="L64" s="85">
        <f t="shared" si="5"/>
        <v>0.83333333333333337</v>
      </c>
      <c r="M64" s="51">
        <f t="shared" si="6"/>
        <v>0.5</v>
      </c>
      <c r="N64" s="73">
        <v>0</v>
      </c>
      <c r="O64" s="45">
        <v>100000</v>
      </c>
      <c r="P64" s="45">
        <v>45341</v>
      </c>
      <c r="Q64" s="45">
        <v>0</v>
      </c>
      <c r="R64" s="46">
        <f t="shared" si="3"/>
        <v>0.45340999999999998</v>
      </c>
      <c r="S64" s="51" t="str">
        <f t="shared" si="4"/>
        <v xml:space="preserve"> -</v>
      </c>
    </row>
    <row r="65" spans="2:19" ht="30" x14ac:dyDescent="0.2">
      <c r="B65" s="134"/>
      <c r="C65" s="134"/>
      <c r="D65" s="137"/>
      <c r="E65" s="44">
        <v>43831</v>
      </c>
      <c r="F65" s="44">
        <v>44196</v>
      </c>
      <c r="G65" s="15" t="s">
        <v>79</v>
      </c>
      <c r="H65" s="45">
        <v>12</v>
      </c>
      <c r="I65" s="45">
        <v>1</v>
      </c>
      <c r="J65" s="45">
        <v>0</v>
      </c>
      <c r="K65" s="78">
        <f t="shared" si="0"/>
        <v>0</v>
      </c>
      <c r="L65" s="85">
        <f t="shared" si="5"/>
        <v>0.83333333333333337</v>
      </c>
      <c r="M65" s="51">
        <f t="shared" si="6"/>
        <v>0</v>
      </c>
      <c r="N65" s="73">
        <v>0</v>
      </c>
      <c r="O65" s="45">
        <v>0</v>
      </c>
      <c r="P65" s="45">
        <v>0</v>
      </c>
      <c r="Q65" s="45">
        <v>0</v>
      </c>
      <c r="R65" s="46" t="str">
        <f t="shared" si="3"/>
        <v xml:space="preserve"> -</v>
      </c>
      <c r="S65" s="51" t="str">
        <f t="shared" si="4"/>
        <v xml:space="preserve"> -</v>
      </c>
    </row>
    <row r="66" spans="2:19" ht="30" x14ac:dyDescent="0.2">
      <c r="B66" s="134"/>
      <c r="C66" s="134"/>
      <c r="D66" s="137"/>
      <c r="E66" s="44">
        <v>43831</v>
      </c>
      <c r="F66" s="44">
        <v>44196</v>
      </c>
      <c r="G66" s="15" t="s">
        <v>80</v>
      </c>
      <c r="H66" s="45">
        <v>4</v>
      </c>
      <c r="I66" s="45">
        <v>4</v>
      </c>
      <c r="J66" s="45">
        <v>4</v>
      </c>
      <c r="K66" s="78">
        <f t="shared" si="0"/>
        <v>1</v>
      </c>
      <c r="L66" s="85">
        <f t="shared" si="5"/>
        <v>0.83333333333333337</v>
      </c>
      <c r="M66" s="51">
        <f t="shared" si="6"/>
        <v>1</v>
      </c>
      <c r="N66" s="73">
        <v>0</v>
      </c>
      <c r="O66" s="45">
        <v>160000</v>
      </c>
      <c r="P66" s="45">
        <f>48000-1000+10000</f>
        <v>57000</v>
      </c>
      <c r="Q66" s="45">
        <v>0</v>
      </c>
      <c r="R66" s="46">
        <f t="shared" si="3"/>
        <v>0.35625000000000001</v>
      </c>
      <c r="S66" s="51" t="str">
        <f t="shared" si="4"/>
        <v xml:space="preserve"> -</v>
      </c>
    </row>
    <row r="67" spans="2:19" ht="45" x14ac:dyDescent="0.2">
      <c r="B67" s="134"/>
      <c r="C67" s="134"/>
      <c r="D67" s="137"/>
      <c r="E67" s="44">
        <v>43831</v>
      </c>
      <c r="F67" s="44">
        <v>44196</v>
      </c>
      <c r="G67" s="15" t="s">
        <v>81</v>
      </c>
      <c r="H67" s="45">
        <v>1</v>
      </c>
      <c r="I67" s="45">
        <v>1</v>
      </c>
      <c r="J67" s="45">
        <v>1</v>
      </c>
      <c r="K67" s="78">
        <f t="shared" si="0"/>
        <v>1</v>
      </c>
      <c r="L67" s="85">
        <f t="shared" si="5"/>
        <v>0.83333333333333337</v>
      </c>
      <c r="M67" s="51">
        <f t="shared" si="6"/>
        <v>1</v>
      </c>
      <c r="N67" s="73">
        <v>0</v>
      </c>
      <c r="O67" s="45">
        <v>20000</v>
      </c>
      <c r="P67" s="45">
        <f>1000+7500</f>
        <v>8500</v>
      </c>
      <c r="Q67" s="45">
        <v>0</v>
      </c>
      <c r="R67" s="46">
        <f t="shared" si="3"/>
        <v>0.42499999999999999</v>
      </c>
      <c r="S67" s="51" t="str">
        <f t="shared" si="4"/>
        <v xml:space="preserve"> -</v>
      </c>
    </row>
    <row r="68" spans="2:19" ht="45.75" thickBot="1" x14ac:dyDescent="0.25">
      <c r="B68" s="135"/>
      <c r="C68" s="135"/>
      <c r="D68" s="138"/>
      <c r="E68" s="52">
        <v>43831</v>
      </c>
      <c r="F68" s="52">
        <v>44196</v>
      </c>
      <c r="G68" s="17" t="s">
        <v>82</v>
      </c>
      <c r="H68" s="53">
        <v>20</v>
      </c>
      <c r="I68" s="53">
        <v>0</v>
      </c>
      <c r="J68" s="53">
        <v>0</v>
      </c>
      <c r="K68" s="80" t="e">
        <f t="shared" si="0"/>
        <v>#DIV/0!</v>
      </c>
      <c r="L68" s="86">
        <f t="shared" si="5"/>
        <v>0.83333333333333337</v>
      </c>
      <c r="M68" s="55" t="str">
        <f t="shared" si="6"/>
        <v xml:space="preserve"> -</v>
      </c>
      <c r="N68" s="74">
        <v>0</v>
      </c>
      <c r="O68" s="53">
        <v>0</v>
      </c>
      <c r="P68" s="53">
        <v>0</v>
      </c>
      <c r="Q68" s="53">
        <v>0</v>
      </c>
      <c r="R68" s="54" t="str">
        <f t="shared" si="3"/>
        <v xml:space="preserve"> -</v>
      </c>
      <c r="S68" s="55" t="str">
        <f t="shared" si="4"/>
        <v xml:space="preserve"> -</v>
      </c>
    </row>
    <row r="69" spans="2:19" ht="12.95" customHeight="1" thickBot="1" x14ac:dyDescent="0.25">
      <c r="B69" s="26"/>
      <c r="C69" s="27"/>
      <c r="D69" s="27"/>
      <c r="E69" s="28"/>
      <c r="F69" s="28"/>
      <c r="G69" s="29"/>
      <c r="H69" s="30"/>
      <c r="I69" s="30"/>
      <c r="J69" s="30"/>
      <c r="K69" s="31"/>
      <c r="L69" s="32"/>
      <c r="M69" s="32"/>
      <c r="N69" s="33"/>
      <c r="O69" s="30"/>
      <c r="P69" s="30"/>
      <c r="Q69" s="30"/>
      <c r="R69" s="32"/>
      <c r="S69" s="34"/>
    </row>
    <row r="70" spans="2:19" ht="60.75" thickBot="1" x14ac:dyDescent="0.25">
      <c r="B70" s="62" t="s">
        <v>89</v>
      </c>
      <c r="C70" s="62" t="s">
        <v>88</v>
      </c>
      <c r="D70" s="61" t="s">
        <v>87</v>
      </c>
      <c r="E70" s="56">
        <v>43831</v>
      </c>
      <c r="F70" s="56">
        <v>44196</v>
      </c>
      <c r="G70" s="57" t="s">
        <v>86</v>
      </c>
      <c r="H70" s="58">
        <v>1</v>
      </c>
      <c r="I70" s="58">
        <v>1</v>
      </c>
      <c r="J70" s="58">
        <v>1</v>
      </c>
      <c r="K70" s="82">
        <f t="shared" si="0"/>
        <v>1</v>
      </c>
      <c r="L70" s="83">
        <f t="shared" si="5"/>
        <v>0.83333333333333337</v>
      </c>
      <c r="M70" s="60">
        <f t="shared" si="6"/>
        <v>1</v>
      </c>
      <c r="N70" s="71">
        <v>0</v>
      </c>
      <c r="O70" s="58">
        <v>0</v>
      </c>
      <c r="P70" s="58">
        <v>0</v>
      </c>
      <c r="Q70" s="58">
        <v>0</v>
      </c>
      <c r="R70" s="59" t="str">
        <f t="shared" si="3"/>
        <v xml:space="preserve"> -</v>
      </c>
      <c r="S70" s="60" t="str">
        <f t="shared" si="4"/>
        <v xml:space="preserve"> -</v>
      </c>
    </row>
    <row r="71" spans="2:19" ht="12.95" customHeight="1" thickBot="1" x14ac:dyDescent="0.25">
      <c r="B71" s="35"/>
      <c r="C71" s="27"/>
      <c r="D71" s="27"/>
      <c r="E71" s="28"/>
      <c r="F71" s="28"/>
      <c r="G71" s="29"/>
      <c r="H71" s="30"/>
      <c r="I71" s="30"/>
      <c r="J71" s="30"/>
      <c r="K71" s="31"/>
      <c r="L71" s="32"/>
      <c r="M71" s="32"/>
      <c r="N71" s="33"/>
      <c r="O71" s="30"/>
      <c r="P71" s="30"/>
      <c r="Q71" s="30"/>
      <c r="R71" s="32"/>
      <c r="S71" s="34"/>
    </row>
    <row r="72" spans="2:19" ht="60" x14ac:dyDescent="0.2">
      <c r="B72" s="142" t="s">
        <v>98</v>
      </c>
      <c r="C72" s="133" t="s">
        <v>97</v>
      </c>
      <c r="D72" s="136" t="s">
        <v>94</v>
      </c>
      <c r="E72" s="47">
        <v>43831</v>
      </c>
      <c r="F72" s="47">
        <v>44196</v>
      </c>
      <c r="G72" s="14" t="s">
        <v>90</v>
      </c>
      <c r="H72" s="48">
        <v>1</v>
      </c>
      <c r="I72" s="48">
        <v>1</v>
      </c>
      <c r="J72" s="48">
        <v>1</v>
      </c>
      <c r="K72" s="77">
        <f t="shared" si="0"/>
        <v>1</v>
      </c>
      <c r="L72" s="84">
        <f t="shared" si="5"/>
        <v>0.83333333333333337</v>
      </c>
      <c r="M72" s="50">
        <f t="shared" si="6"/>
        <v>1</v>
      </c>
      <c r="N72" s="72">
        <v>0</v>
      </c>
      <c r="O72" s="48">
        <f>2581918-1200000-800000-200000</f>
        <v>381918</v>
      </c>
      <c r="P72" s="48">
        <f>1234996-771959-218500+22000</f>
        <v>266537</v>
      </c>
      <c r="Q72" s="48">
        <v>0</v>
      </c>
      <c r="R72" s="49">
        <f t="shared" si="3"/>
        <v>0.69789064668331946</v>
      </c>
      <c r="S72" s="50" t="str">
        <f t="shared" si="4"/>
        <v xml:space="preserve"> -</v>
      </c>
    </row>
    <row r="73" spans="2:19" ht="45" x14ac:dyDescent="0.2">
      <c r="B73" s="143"/>
      <c r="C73" s="134"/>
      <c r="D73" s="137"/>
      <c r="E73" s="44">
        <v>43831</v>
      </c>
      <c r="F73" s="44">
        <v>44196</v>
      </c>
      <c r="G73" s="15" t="s">
        <v>91</v>
      </c>
      <c r="H73" s="45">
        <v>10</v>
      </c>
      <c r="I73" s="45">
        <v>6</v>
      </c>
      <c r="J73" s="45">
        <v>0</v>
      </c>
      <c r="K73" s="78">
        <f t="shared" si="0"/>
        <v>0</v>
      </c>
      <c r="L73" s="85">
        <f t="shared" si="5"/>
        <v>0.83333333333333337</v>
      </c>
      <c r="M73" s="51">
        <f t="shared" si="6"/>
        <v>0</v>
      </c>
      <c r="N73" s="73">
        <v>0</v>
      </c>
      <c r="O73" s="45">
        <f>1200000-20000</f>
        <v>1180000</v>
      </c>
      <c r="P73" s="45">
        <v>0</v>
      </c>
      <c r="Q73" s="45">
        <v>0</v>
      </c>
      <c r="R73" s="46">
        <f t="shared" si="3"/>
        <v>0</v>
      </c>
      <c r="S73" s="51" t="str">
        <f t="shared" si="4"/>
        <v xml:space="preserve"> -</v>
      </c>
    </row>
    <row r="74" spans="2:19" ht="45" x14ac:dyDescent="0.2">
      <c r="B74" s="143"/>
      <c r="C74" s="134"/>
      <c r="D74" s="137"/>
      <c r="E74" s="44">
        <v>43831</v>
      </c>
      <c r="F74" s="44">
        <v>44196</v>
      </c>
      <c r="G74" s="15" t="s">
        <v>92</v>
      </c>
      <c r="H74" s="46">
        <v>1</v>
      </c>
      <c r="I74" s="46">
        <v>1</v>
      </c>
      <c r="J74" s="46">
        <v>0.5</v>
      </c>
      <c r="K74" s="78">
        <f t="shared" si="0"/>
        <v>0.5</v>
      </c>
      <c r="L74" s="85">
        <f t="shared" si="5"/>
        <v>0.83333333333333337</v>
      </c>
      <c r="M74" s="51">
        <f t="shared" si="6"/>
        <v>0.5</v>
      </c>
      <c r="N74" s="73">
        <v>0</v>
      </c>
      <c r="O74" s="45">
        <v>220000</v>
      </c>
      <c r="P74" s="45">
        <v>218500</v>
      </c>
      <c r="Q74" s="45">
        <v>0</v>
      </c>
      <c r="R74" s="46">
        <f t="shared" si="3"/>
        <v>0.99318181818181817</v>
      </c>
      <c r="S74" s="51" t="str">
        <f t="shared" si="4"/>
        <v xml:space="preserve"> -</v>
      </c>
    </row>
    <row r="75" spans="2:19" ht="45.75" thickBot="1" x14ac:dyDescent="0.25">
      <c r="B75" s="143"/>
      <c r="C75" s="135"/>
      <c r="D75" s="138"/>
      <c r="E75" s="52">
        <v>43831</v>
      </c>
      <c r="F75" s="52">
        <v>44196</v>
      </c>
      <c r="G75" s="17" t="s">
        <v>93</v>
      </c>
      <c r="H75" s="54">
        <v>1</v>
      </c>
      <c r="I75" s="54">
        <v>1</v>
      </c>
      <c r="J75" s="54">
        <v>1</v>
      </c>
      <c r="K75" s="80">
        <f t="shared" si="0"/>
        <v>1</v>
      </c>
      <c r="L75" s="86">
        <f t="shared" si="5"/>
        <v>0.83333333333333337</v>
      </c>
      <c r="M75" s="55">
        <f t="shared" si="6"/>
        <v>1</v>
      </c>
      <c r="N75" s="74">
        <v>0</v>
      </c>
      <c r="O75" s="53">
        <v>800000</v>
      </c>
      <c r="P75" s="53">
        <f>758231+13728+13774+9244</f>
        <v>794977</v>
      </c>
      <c r="Q75" s="53">
        <v>0</v>
      </c>
      <c r="R75" s="54">
        <f t="shared" si="3"/>
        <v>0.99372125</v>
      </c>
      <c r="S75" s="55" t="str">
        <f t="shared" si="4"/>
        <v xml:space="preserve"> -</v>
      </c>
    </row>
    <row r="76" spans="2:19" ht="12.95" customHeight="1" thickBot="1" x14ac:dyDescent="0.25">
      <c r="B76" s="143"/>
      <c r="C76" s="36"/>
      <c r="D76" s="36"/>
      <c r="E76" s="37"/>
      <c r="F76" s="37"/>
      <c r="G76" s="38"/>
      <c r="H76" s="39"/>
      <c r="I76" s="39"/>
      <c r="J76" s="39"/>
      <c r="K76" s="40"/>
      <c r="L76" s="41"/>
      <c r="M76" s="41"/>
      <c r="N76" s="42"/>
      <c r="O76" s="39"/>
      <c r="P76" s="39"/>
      <c r="Q76" s="39"/>
      <c r="R76" s="41"/>
      <c r="S76" s="43"/>
    </row>
    <row r="77" spans="2:19" ht="60.75" thickBot="1" x14ac:dyDescent="0.25">
      <c r="B77" s="144"/>
      <c r="C77" s="62" t="s">
        <v>96</v>
      </c>
      <c r="D77" s="61" t="s">
        <v>95</v>
      </c>
      <c r="E77" s="56">
        <v>43831</v>
      </c>
      <c r="F77" s="56">
        <v>44196</v>
      </c>
      <c r="G77" s="57" t="s">
        <v>111</v>
      </c>
      <c r="H77" s="59">
        <v>1</v>
      </c>
      <c r="I77" s="59">
        <v>1</v>
      </c>
      <c r="J77" s="59">
        <v>1</v>
      </c>
      <c r="K77" s="82">
        <f t="shared" si="0"/>
        <v>1</v>
      </c>
      <c r="L77" s="83">
        <f t="shared" si="5"/>
        <v>0.83333333333333337</v>
      </c>
      <c r="M77" s="60">
        <f t="shared" si="6"/>
        <v>1</v>
      </c>
      <c r="N77" s="71" t="s">
        <v>110</v>
      </c>
      <c r="O77" s="58">
        <v>559300</v>
      </c>
      <c r="P77" s="58">
        <v>537077</v>
      </c>
      <c r="Q77" s="58">
        <v>0</v>
      </c>
      <c r="R77" s="59">
        <f t="shared" si="3"/>
        <v>0.96026640443411404</v>
      </c>
      <c r="S77" s="60" t="str">
        <f t="shared" si="4"/>
        <v xml:space="preserve"> -</v>
      </c>
    </row>
    <row r="78" spans="2:19" ht="21" customHeight="1" thickBot="1" x14ac:dyDescent="0.25">
      <c r="E78" s="13"/>
      <c r="F78" s="13"/>
      <c r="H78" s="10"/>
      <c r="I78" s="10"/>
      <c r="K78" s="11"/>
      <c r="L78" s="89">
        <f>+AVERAGE(L12:L61,L63:L68,L70,L72:L75,L77)</f>
        <v>0.83333333333333404</v>
      </c>
      <c r="M78" s="90">
        <f>+AVERAGE(M12:M61,M63:M68,M70,M72:M75,M77)</f>
        <v>0.81621676780047869</v>
      </c>
      <c r="N78" s="91"/>
      <c r="O78" s="92">
        <f>+SUM(O12:O61,O63:O68,O70,O72:O75,O77)</f>
        <v>23523754.335999999</v>
      </c>
      <c r="P78" s="93">
        <f>+SUM(P12:P61,P63:P68,P70,P72:P75,P77)</f>
        <v>12539011</v>
      </c>
      <c r="Q78" s="93">
        <f>+SUM(Q12:Q61,Q63:Q68,Q70,Q72:Q75,Q77)</f>
        <v>0</v>
      </c>
      <c r="R78" s="94">
        <f t="shared" ref="R78" si="7">IF(O78=0," -",P78/O78)</f>
        <v>0.53303613109114556</v>
      </c>
      <c r="S78" s="90" t="str">
        <f t="shared" ref="S78" si="8">IF(Q78=0," -",IF(P78=0,100%,Q78/P78))</f>
        <v xml:space="preserve"> -</v>
      </c>
    </row>
    <row r="79" spans="2:19" x14ac:dyDescent="0.2">
      <c r="E79" s="13"/>
      <c r="F79" s="13"/>
      <c r="H79" s="10"/>
      <c r="I79" s="10"/>
      <c r="K79" s="11"/>
      <c r="L79" s="11"/>
      <c r="M79" s="11"/>
      <c r="N79" s="12"/>
      <c r="O79" s="97"/>
      <c r="P79" s="10"/>
      <c r="Q79" s="10"/>
      <c r="R79" s="11"/>
      <c r="S79" s="11"/>
    </row>
    <row r="80" spans="2:19" x14ac:dyDescent="0.2">
      <c r="E80" s="13"/>
      <c r="F80" s="13"/>
      <c r="H80" s="10"/>
      <c r="I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34">
    <mergeCell ref="B72:B77"/>
    <mergeCell ref="C12:C61"/>
    <mergeCell ref="D63:D68"/>
    <mergeCell ref="C63:C68"/>
    <mergeCell ref="B63:B68"/>
    <mergeCell ref="B12:B61"/>
    <mergeCell ref="D24:D29"/>
    <mergeCell ref="D16:D23"/>
    <mergeCell ref="D12:D15"/>
    <mergeCell ref="D57:D61"/>
    <mergeCell ref="D53:D56"/>
    <mergeCell ref="D49:D52"/>
    <mergeCell ref="D42:D48"/>
    <mergeCell ref="M10:M11"/>
    <mergeCell ref="C72:C75"/>
    <mergeCell ref="D72:D75"/>
    <mergeCell ref="H10:H11"/>
    <mergeCell ref="D38:D41"/>
    <mergeCell ref="B3:S3"/>
    <mergeCell ref="D30:D37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N9:S10"/>
    <mergeCell ref="L10:L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2020-11-10T22:55:06Z</dcterms:modified>
</cp:coreProperties>
</file>