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3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V15" i="11"/>
  <c r="W15" i="11"/>
  <c r="V16" i="11"/>
  <c r="W16" i="11"/>
  <c r="V17" i="11"/>
  <c r="W17" i="11"/>
  <c r="V12" i="11"/>
  <c r="W12" i="11"/>
  <c r="V13" i="11"/>
  <c r="W13" i="11"/>
  <c r="U17" i="11"/>
  <c r="U16" i="11"/>
  <c r="U15" i="11"/>
  <c r="U13" i="11"/>
  <c r="U12" i="11"/>
  <c r="I13" i="12"/>
  <c r="I12" i="12"/>
  <c r="I11" i="12"/>
  <c r="I10" i="12"/>
  <c r="I9" i="12"/>
  <c r="I8" i="12"/>
  <c r="S18" i="11"/>
  <c r="L12" i="10"/>
  <c r="N12" i="10"/>
  <c r="R12" i="11"/>
  <c r="L13" i="10"/>
  <c r="N13" i="10"/>
  <c r="R13" i="11"/>
  <c r="L15" i="10"/>
  <c r="N15" i="10"/>
  <c r="R15" i="11"/>
  <c r="L16" i="10"/>
  <c r="N16" i="10"/>
  <c r="R16" i="11"/>
  <c r="L17" i="10"/>
  <c r="N17" i="10"/>
  <c r="R17" i="11"/>
  <c r="R18" i="11"/>
  <c r="L12" i="9"/>
  <c r="N12" i="9"/>
  <c r="Q12" i="11"/>
  <c r="L13" i="9"/>
  <c r="N13" i="9"/>
  <c r="Q13" i="11"/>
  <c r="L15" i="9"/>
  <c r="N15" i="9"/>
  <c r="Q15" i="11"/>
  <c r="L16" i="9"/>
  <c r="N16" i="9"/>
  <c r="Q16" i="11"/>
  <c r="L17" i="9"/>
  <c r="N17" i="9"/>
  <c r="Q17" i="11"/>
  <c r="Q18" i="11"/>
  <c r="L12" i="8"/>
  <c r="N12" i="8"/>
  <c r="P12" i="11"/>
  <c r="N13" i="8"/>
  <c r="P13" i="11"/>
  <c r="L15" i="8"/>
  <c r="N15" i="8"/>
  <c r="P15" i="11"/>
  <c r="L16" i="8"/>
  <c r="N16" i="8"/>
  <c r="P16" i="11"/>
  <c r="L17" i="8"/>
  <c r="N17" i="8"/>
  <c r="P17" i="11"/>
  <c r="P18" i="11"/>
  <c r="L12" i="7"/>
  <c r="N12" i="7"/>
  <c r="O12" i="11"/>
  <c r="N13" i="7"/>
  <c r="O13" i="11"/>
  <c r="L15" i="7"/>
  <c r="N15" i="7"/>
  <c r="O15" i="11"/>
  <c r="L16" i="7"/>
  <c r="N16" i="7"/>
  <c r="O16" i="11"/>
  <c r="L17" i="7"/>
  <c r="N17" i="7"/>
  <c r="O17" i="11"/>
  <c r="O18" i="11"/>
  <c r="H12" i="11"/>
  <c r="H13" i="11"/>
  <c r="F8" i="12"/>
  <c r="I12" i="11"/>
  <c r="I13" i="11"/>
  <c r="G8" i="12"/>
  <c r="J12" i="11"/>
  <c r="J13" i="11"/>
  <c r="H8" i="12"/>
  <c r="F9" i="12"/>
  <c r="G9" i="12"/>
  <c r="H9" i="12"/>
  <c r="F10" i="12"/>
  <c r="G10" i="12"/>
  <c r="H10" i="12"/>
  <c r="H15" i="11"/>
  <c r="H16" i="11"/>
  <c r="H17" i="11"/>
  <c r="F11" i="12"/>
  <c r="I15" i="11"/>
  <c r="I16" i="11"/>
  <c r="I17" i="11"/>
  <c r="G11" i="12"/>
  <c r="J15" i="11"/>
  <c r="J16" i="11"/>
  <c r="J17" i="11"/>
  <c r="H11" i="12"/>
  <c r="F12" i="12"/>
  <c r="G12" i="12"/>
  <c r="H12" i="12"/>
  <c r="F13" i="12"/>
  <c r="G13" i="12"/>
  <c r="H13" i="12"/>
  <c r="G15" i="11"/>
  <c r="G16" i="11"/>
  <c r="G17" i="11"/>
  <c r="E12" i="12"/>
  <c r="E11" i="12"/>
  <c r="G12" i="11"/>
  <c r="G13" i="11"/>
  <c r="E9" i="12"/>
  <c r="E8" i="12"/>
  <c r="E13" i="12"/>
  <c r="E10" i="12"/>
  <c r="I14" i="12"/>
  <c r="F14" i="12"/>
  <c r="G14" i="12"/>
  <c r="H14" i="12"/>
  <c r="E14" i="12"/>
  <c r="M13" i="12"/>
  <c r="L13" i="12"/>
  <c r="K13" i="12"/>
  <c r="M12" i="12"/>
  <c r="M11" i="12"/>
  <c r="M10" i="12"/>
  <c r="M9" i="12"/>
  <c r="M8" i="12"/>
  <c r="M14" i="12"/>
  <c r="L12" i="12"/>
  <c r="L11" i="12"/>
  <c r="L10" i="12"/>
  <c r="L9" i="12"/>
  <c r="L8" i="12"/>
  <c r="L14" i="12"/>
  <c r="K12" i="12"/>
  <c r="K11" i="12"/>
  <c r="K10" i="12"/>
  <c r="K9" i="12"/>
  <c r="K8" i="12"/>
  <c r="K14" i="12"/>
  <c r="C17" i="12"/>
  <c r="C16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N12" i="11"/>
  <c r="N13" i="11"/>
  <c r="N15" i="11"/>
  <c r="N16" i="11"/>
  <c r="N17" i="11"/>
  <c r="M12" i="11"/>
  <c r="M13" i="11"/>
  <c r="M15" i="11"/>
  <c r="M16" i="11"/>
  <c r="M17" i="11"/>
  <c r="L12" i="11"/>
  <c r="L13" i="11"/>
  <c r="L15" i="11"/>
  <c r="L16" i="11"/>
  <c r="L17" i="11"/>
  <c r="K12" i="11"/>
  <c r="K13" i="11"/>
  <c r="K15" i="11"/>
  <c r="K16" i="11"/>
  <c r="K17" i="11"/>
  <c r="W18" i="11"/>
  <c r="Y18" i="11"/>
  <c r="U18" i="11"/>
  <c r="X18" i="11"/>
  <c r="V18" i="11"/>
  <c r="Y17" i="11"/>
  <c r="X17" i="11"/>
  <c r="I17" i="8"/>
  <c r="I17" i="9"/>
  <c r="Y16" i="11"/>
  <c r="X16" i="11"/>
  <c r="I16" i="8"/>
  <c r="I16" i="9"/>
  <c r="Y15" i="11"/>
  <c r="X15" i="11"/>
  <c r="I15" i="8"/>
  <c r="I15" i="9"/>
  <c r="Y13" i="11"/>
  <c r="X13" i="11"/>
  <c r="I13" i="8"/>
  <c r="I13" i="9"/>
  <c r="Y12" i="11"/>
  <c r="X12" i="11"/>
  <c r="I13" i="10"/>
  <c r="I15" i="10"/>
  <c r="I16" i="10"/>
  <c r="I17" i="10"/>
  <c r="I12" i="10"/>
  <c r="I12" i="9"/>
  <c r="I12" i="8"/>
  <c r="R18" i="10"/>
  <c r="T18" i="10"/>
  <c r="P18" i="10"/>
  <c r="S18" i="10"/>
  <c r="Q18" i="10"/>
  <c r="N18" i="10"/>
  <c r="M12" i="10"/>
  <c r="M13" i="10"/>
  <c r="M15" i="10"/>
  <c r="M16" i="10"/>
  <c r="M17" i="10"/>
  <c r="M18" i="10"/>
  <c r="T17" i="10"/>
  <c r="S17" i="10"/>
  <c r="T16" i="10"/>
  <c r="S16" i="10"/>
  <c r="T15" i="10"/>
  <c r="S15" i="10"/>
  <c r="T13" i="10"/>
  <c r="S13" i="10"/>
  <c r="T12" i="10"/>
  <c r="S12" i="10"/>
  <c r="R18" i="9"/>
  <c r="T18" i="9"/>
  <c r="P18" i="9"/>
  <c r="S18" i="9"/>
  <c r="Q18" i="9"/>
  <c r="N18" i="9"/>
  <c r="M12" i="9"/>
  <c r="M13" i="9"/>
  <c r="M15" i="9"/>
  <c r="M16" i="9"/>
  <c r="M17" i="9"/>
  <c r="M18" i="9"/>
  <c r="T17" i="9"/>
  <c r="S17" i="9"/>
  <c r="T16" i="9"/>
  <c r="S16" i="9"/>
  <c r="T15" i="9"/>
  <c r="S15" i="9"/>
  <c r="T13" i="9"/>
  <c r="S13" i="9"/>
  <c r="T12" i="9"/>
  <c r="S12" i="9"/>
  <c r="R18" i="8"/>
  <c r="T18" i="8"/>
  <c r="P18" i="8"/>
  <c r="S18" i="8"/>
  <c r="Q18" i="8"/>
  <c r="N18" i="8"/>
  <c r="M12" i="8"/>
  <c r="M13" i="8"/>
  <c r="M15" i="8"/>
  <c r="M16" i="8"/>
  <c r="M17" i="8"/>
  <c r="M18" i="8"/>
  <c r="T17" i="8"/>
  <c r="S17" i="8"/>
  <c r="T16" i="8"/>
  <c r="S16" i="8"/>
  <c r="T15" i="8"/>
  <c r="S15" i="8"/>
  <c r="T13" i="8"/>
  <c r="S13" i="8"/>
  <c r="L13" i="8"/>
  <c r="T12" i="8"/>
  <c r="S12" i="8"/>
  <c r="R18" i="7"/>
  <c r="Q18" i="7"/>
  <c r="P18" i="7"/>
  <c r="N18" i="7"/>
  <c r="M12" i="7"/>
  <c r="M13" i="7"/>
  <c r="M15" i="7"/>
  <c r="M16" i="7"/>
  <c r="M17" i="7"/>
  <c r="M18" i="7"/>
  <c r="T13" i="7"/>
  <c r="T15" i="7"/>
  <c r="T16" i="7"/>
  <c r="T17" i="7"/>
  <c r="S13" i="7"/>
  <c r="S15" i="7"/>
  <c r="S16" i="7"/>
  <c r="S17" i="7"/>
  <c r="L13" i="7"/>
  <c r="T12" i="7"/>
  <c r="S12" i="7"/>
  <c r="T18" i="7"/>
  <c r="S18" i="7"/>
</calcChain>
</file>

<file path=xl/sharedStrings.xml><?xml version="1.0" encoding="utf-8"?>
<sst xmlns="http://schemas.openxmlformats.org/spreadsheetml/2006/main" count="245" uniqueCount="61">
  <si>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</si>
  <si>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</si>
  <si>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</si>
  <si>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</si>
  <si>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</si>
  <si>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</si>
  <si>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</si>
  <si>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</si>
  <si>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</si>
  <si>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</si>
  <si>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</si>
  <si>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</si>
  <si>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</si>
  <si>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</si>
  <si>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</si>
  <si>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</si>
  <si>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</si>
  <si>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</si>
  <si>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</si>
  <si>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</si>
  <si>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</si>
  <si>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</si>
  <si>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</si>
  <si>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</si>
  <si>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</si>
  <si>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</si>
  <si>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</si>
  <si>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DEPARTAMENTO ADMINISTRATIVO PARA LA DEFENSORÍA DEL ESPACIO PÚBLICO</t>
  </si>
  <si>
    <t>Número de inventarios en línea de los bienes inmuebles del municipio realizados y mantenidos.</t>
  </si>
  <si>
    <t>Número de predios de propiedad del municipio cuya titulación se encuentra pendiente incorporados.</t>
  </si>
  <si>
    <t>Número de M2 de espacio público habilitados para garantizar el uso y goce efectivo.</t>
  </si>
  <si>
    <t>Número de M2 de cesiones tipo A, cesiones obligatorias, andenes y vías.</t>
  </si>
  <si>
    <t>Número de vendedores informales beneficiados con proyectos estratégicos o de reubicación.</t>
  </si>
  <si>
    <t>APROVECHAMIENTO SOCIAL DEL ESPACIO PÚBLICO</t>
  </si>
  <si>
    <t>RED DE ESPACIO PÚBLICO</t>
  </si>
  <si>
    <t>4 - CALIDAD DE VIDA</t>
  </si>
  <si>
    <t>1 - GOBERNANZA DEMOCRÁTICA</t>
  </si>
  <si>
    <t>GOBIERNO LEGAL Y EFECTIVO</t>
  </si>
  <si>
    <t>GESTIÓN INTELIGENTE DEL PATRIMONIO INMOBILIARIO MUNICIPAL</t>
  </si>
  <si>
    <t>2016 - 2019</t>
  </si>
  <si>
    <t>RECURSOS FINANCIEROS 2016 - 2017 (Miles de pesos)</t>
  </si>
  <si>
    <t>AVANCE EN CUMPLIMIENTO</t>
  </si>
  <si>
    <t>RESUMEN CUMPLIMIENTO PLAN DE DESARROLLO 2016 - 2019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</si>
  <si>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</si>
  <si>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</si>
  <si>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</si>
  <si>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</si>
  <si>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</si>
  <si>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</si>
  <si>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</si>
  <si>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</si>
  <si>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1.2</t>
  </si>
  <si>
    <t>1.2.6</t>
  </si>
  <si>
    <t>Gestión Inteligente del Patrimonio Inmobiliario Municipal</t>
  </si>
  <si>
    <t>LÍNEA ESTRATÉGICA 4: CALIDAD DE VIDA</t>
  </si>
  <si>
    <t>4.5</t>
  </si>
  <si>
    <t>4.5.1</t>
  </si>
  <si>
    <t>Aprovechamiento Social del Espacio Público</t>
  </si>
  <si>
    <t>PLAN DE DESARROLLO 2016 - 2019</t>
  </si>
  <si>
    <t xml:space="preserve"> -</t>
  </si>
  <si>
    <t>META A JUNIO 2019: 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</si>
</sst>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sz val="12"/>
      <color indexed="8"/>
      <name val="Arial"/>
      <family val="2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</fills>
  <borders count="7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87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54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164" fontId="5" fillId="3" borderId="37" xfId="0" applyNumberFormat="1" applyFont="1" applyFill="1" applyBorder="1" applyAlignment="1">
      <alignment horizontal="center" vertical="center" wrapText="1"/>
    </xf>
    <xf numFmtId="3" fontId="5" fillId="3" borderId="37" xfId="0" applyNumberFormat="1" applyFont="1" applyFill="1" applyBorder="1" applyAlignment="1">
      <alignment horizontal="center" vertical="center" wrapText="1"/>
    </xf>
    <xf numFmtId="9" fontId="7" fillId="3" borderId="37" xfId="0" applyNumberFormat="1" applyFont="1" applyFill="1" applyBorder="1" applyAlignment="1">
      <alignment horizontal="center" vertical="center" wrapText="1"/>
    </xf>
    <xf numFmtId="9" fontId="5" fillId="3" borderId="37" xfId="0" applyNumberFormat="1" applyFont="1" applyFill="1" applyBorder="1" applyAlignment="1">
      <alignment horizontal="center" vertical="center" wrapText="1"/>
    </xf>
    <xf numFmtId="9" fontId="5" fillId="3" borderId="38" xfId="0" applyNumberFormat="1" applyFont="1" applyFill="1" applyBorder="1" applyAlignment="1">
      <alignment horizontal="center" vertical="center" wrapText="1"/>
    </xf>
    <xf numFmtId="9" fontId="5" fillId="0" borderId="3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0" fontId="5" fillId="3" borderId="37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9" fontId="8" fillId="2" borderId="46" xfId="0" applyNumberFormat="1" applyFont="1" applyFill="1" applyBorder="1" applyAlignment="1">
      <alignment horizontal="center" vertical="center"/>
    </xf>
    <xf numFmtId="9" fontId="8" fillId="2" borderId="35" xfId="0" applyNumberFormat="1" applyFont="1" applyFill="1" applyBorder="1" applyAlignment="1">
      <alignment horizontal="center" vertical="center"/>
    </xf>
    <xf numFmtId="0" fontId="5" fillId="0" borderId="33" xfId="0" quotePrefix="1" applyFont="1" applyFill="1" applyBorder="1"/>
    <xf numFmtId="3" fontId="8" fillId="2" borderId="47" xfId="0" applyNumberFormat="1" applyFont="1" applyFill="1" applyBorder="1" applyAlignment="1">
      <alignment horizontal="center" vertical="center"/>
    </xf>
    <xf numFmtId="3" fontId="8" fillId="2" borderId="26" xfId="0" applyNumberFormat="1" applyFont="1" applyFill="1" applyBorder="1" applyAlignment="1">
      <alignment horizontal="center" vertical="center"/>
    </xf>
    <xf numFmtId="9" fontId="8" fillId="2" borderId="26" xfId="0" applyNumberFormat="1" applyFont="1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6" fillId="0" borderId="7" xfId="0" applyFont="1" applyFill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3" fontId="5" fillId="0" borderId="1" xfId="0" applyNumberFormat="1" applyFont="1" applyBorder="1" applyAlignment="1">
      <alignment horizontal="center" vertical="center"/>
    </xf>
    <xf numFmtId="164" fontId="5" fillId="0" borderId="39" xfId="0" applyNumberFormat="1" applyFont="1" applyBorder="1" applyAlignment="1">
      <alignment horizontal="center" vertical="center"/>
    </xf>
    <xf numFmtId="0" fontId="6" fillId="0" borderId="39" xfId="0" applyFont="1" applyFill="1" applyBorder="1" applyAlignment="1">
      <alignment horizontal="justify" vertical="center" wrapText="1"/>
    </xf>
    <xf numFmtId="3" fontId="5" fillId="0" borderId="39" xfId="0" applyNumberFormat="1" applyFont="1" applyBorder="1" applyAlignment="1">
      <alignment horizontal="center" vertical="center"/>
    </xf>
    <xf numFmtId="3" fontId="5" fillId="0" borderId="49" xfId="0" applyNumberFormat="1" applyFont="1" applyBorder="1" applyAlignment="1">
      <alignment horizontal="center" vertical="center"/>
    </xf>
    <xf numFmtId="3" fontId="5" fillId="0" borderId="45" xfId="0" applyNumberFormat="1" applyFont="1" applyBorder="1" applyAlignment="1">
      <alignment horizontal="center" vertical="center"/>
    </xf>
    <xf numFmtId="3" fontId="5" fillId="0" borderId="22" xfId="0" applyNumberFormat="1" applyFont="1" applyBorder="1" applyAlignment="1">
      <alignment horizontal="center" vertical="center"/>
    </xf>
    <xf numFmtId="3" fontId="5" fillId="0" borderId="40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9" fontId="5" fillId="0" borderId="22" xfId="0" applyNumberFormat="1" applyFont="1" applyBorder="1" applyAlignment="1">
      <alignment horizontal="center" vertical="center"/>
    </xf>
    <xf numFmtId="9" fontId="5" fillId="0" borderId="40" xfId="0" applyNumberFormat="1" applyFont="1" applyBorder="1" applyAlignment="1">
      <alignment horizontal="center" vertical="center"/>
    </xf>
    <xf numFmtId="9" fontId="5" fillId="0" borderId="13" xfId="0" applyNumberFormat="1" applyFont="1" applyBorder="1" applyAlignment="1">
      <alignment horizontal="center" vertical="center"/>
    </xf>
    <xf numFmtId="9" fontId="5" fillId="0" borderId="23" xfId="0" applyNumberFormat="1" applyFont="1" applyBorder="1" applyAlignment="1">
      <alignment horizontal="center" vertical="center"/>
    </xf>
    <xf numFmtId="9" fontId="5" fillId="0" borderId="51" xfId="0" applyNumberFormat="1" applyFont="1" applyBorder="1" applyAlignment="1">
      <alignment horizontal="center" vertical="center"/>
    </xf>
    <xf numFmtId="9" fontId="5" fillId="0" borderId="14" xfId="0" applyNumberFormat="1" applyFont="1" applyBorder="1" applyAlignment="1">
      <alignment horizontal="center" vertical="center"/>
    </xf>
    <xf numFmtId="9" fontId="7" fillId="0" borderId="52" xfId="0" applyNumberFormat="1" applyFont="1" applyBorder="1" applyAlignment="1">
      <alignment horizontal="center" vertical="center"/>
    </xf>
    <xf numFmtId="9" fontId="7" fillId="0" borderId="53" xfId="0" applyNumberFormat="1" applyFont="1" applyBorder="1" applyAlignment="1">
      <alignment horizontal="center" vertical="center"/>
    </xf>
    <xf numFmtId="9" fontId="7" fillId="0" borderId="54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" fontId="5" fillId="0" borderId="19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9" fontId="5" fillId="0" borderId="4" xfId="0" applyNumberFormat="1" applyFont="1" applyBorder="1" applyAlignment="1">
      <alignment horizontal="center" vertical="center"/>
    </xf>
    <xf numFmtId="4" fontId="5" fillId="0" borderId="49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 wrapText="1"/>
    </xf>
    <xf numFmtId="9" fontId="5" fillId="4" borderId="2" xfId="0" applyNumberFormat="1" applyFont="1" applyFill="1" applyBorder="1" applyAlignment="1">
      <alignment horizontal="center" vertical="center"/>
    </xf>
    <xf numFmtId="9" fontId="5" fillId="4" borderId="6" xfId="0" applyNumberFormat="1" applyFont="1" applyFill="1" applyBorder="1" applyAlignment="1">
      <alignment horizontal="center" vertical="center"/>
    </xf>
    <xf numFmtId="9" fontId="5" fillId="4" borderId="23" xfId="0" applyNumberFormat="1" applyFont="1" applyFill="1" applyBorder="1" applyAlignment="1">
      <alignment horizontal="center" vertical="center"/>
    </xf>
    <xf numFmtId="9" fontId="5" fillId="4" borderId="51" xfId="0" applyNumberFormat="1" applyFont="1" applyFill="1" applyBorder="1" applyAlignment="1">
      <alignment horizontal="center" vertical="center"/>
    </xf>
    <xf numFmtId="9" fontId="5" fillId="4" borderId="14" xfId="0" applyNumberFormat="1" applyFont="1" applyFill="1" applyBorder="1" applyAlignment="1">
      <alignment horizontal="center" vertical="center"/>
    </xf>
    <xf numFmtId="9" fontId="5" fillId="4" borderId="15" xfId="0" applyNumberFormat="1" applyFont="1" applyFill="1" applyBorder="1" applyAlignment="1">
      <alignment horizontal="center" vertical="center"/>
    </xf>
    <xf numFmtId="9" fontId="5" fillId="4" borderId="57" xfId="0" applyNumberFormat="1" applyFont="1" applyFill="1" applyBorder="1" applyAlignment="1">
      <alignment horizontal="center" vertical="center"/>
    </xf>
    <xf numFmtId="9" fontId="5" fillId="4" borderId="58" xfId="0" applyNumberFormat="1" applyFont="1" applyFill="1" applyBorder="1" applyAlignment="1">
      <alignment horizontal="center" vertical="center"/>
    </xf>
    <xf numFmtId="9" fontId="5" fillId="4" borderId="56" xfId="0" applyNumberFormat="1" applyFont="1" applyFill="1" applyBorder="1" applyAlignment="1">
      <alignment horizontal="center" vertical="center"/>
    </xf>
    <xf numFmtId="9" fontId="5" fillId="4" borderId="3" xfId="0" applyNumberFormat="1" applyFont="1" applyFill="1" applyBorder="1" applyAlignment="1">
      <alignment horizontal="center" vertical="center"/>
    </xf>
    <xf numFmtId="9" fontId="5" fillId="4" borderId="7" xfId="0" applyNumberFormat="1" applyFont="1" applyFill="1" applyBorder="1" applyAlignment="1">
      <alignment horizontal="center" vertical="center"/>
    </xf>
    <xf numFmtId="9" fontId="5" fillId="4" borderId="5" xfId="0" applyNumberFormat="1" applyFont="1" applyFill="1" applyBorder="1" applyAlignment="1">
      <alignment horizontal="center" vertical="center"/>
    </xf>
    <xf numFmtId="9" fontId="8" fillId="2" borderId="55" xfId="0" applyNumberFormat="1" applyFont="1" applyFill="1" applyBorder="1" applyAlignment="1">
      <alignment horizontal="center" vertical="center"/>
    </xf>
    <xf numFmtId="9" fontId="11" fillId="2" borderId="61" xfId="0" applyNumberFormat="1" applyFont="1" applyFill="1" applyBorder="1" applyAlignment="1">
      <alignment horizontal="center" vertical="center"/>
    </xf>
    <xf numFmtId="9" fontId="11" fillId="2" borderId="60" xfId="0" applyNumberFormat="1" applyFont="1" applyFill="1" applyBorder="1" applyAlignment="1">
      <alignment horizontal="center" vertical="center"/>
    </xf>
    <xf numFmtId="9" fontId="8" fillId="4" borderId="8" xfId="0" applyNumberFormat="1" applyFont="1" applyFill="1" applyBorder="1" applyAlignment="1">
      <alignment horizontal="center" vertical="center"/>
    </xf>
    <xf numFmtId="9" fontId="8" fillId="4" borderId="10" xfId="0" applyNumberFormat="1" applyFont="1" applyFill="1" applyBorder="1" applyAlignment="1">
      <alignment horizontal="center" vertical="center"/>
    </xf>
    <xf numFmtId="9" fontId="8" fillId="3" borderId="37" xfId="0" applyNumberFormat="1" applyFont="1" applyFill="1" applyBorder="1" applyAlignment="1">
      <alignment horizontal="center" vertical="center" wrapText="1"/>
    </xf>
    <xf numFmtId="9" fontId="8" fillId="4" borderId="9" xfId="0" applyNumberFormat="1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/>
    </xf>
    <xf numFmtId="0" fontId="2" fillId="0" borderId="47" xfId="0" applyFont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/>
    </xf>
    <xf numFmtId="3" fontId="5" fillId="0" borderId="30" xfId="0" applyNumberFormat="1" applyFont="1" applyBorder="1" applyAlignment="1">
      <alignment horizontal="center" vertical="center"/>
    </xf>
    <xf numFmtId="3" fontId="5" fillId="0" borderId="32" xfId="0" applyNumberFormat="1" applyFont="1" applyBorder="1" applyAlignment="1">
      <alignment horizontal="center" vertical="center"/>
    </xf>
    <xf numFmtId="3" fontId="5" fillId="0" borderId="31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4" fontId="5" fillId="0" borderId="3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25" xfId="0" applyFont="1" applyBorder="1" applyAlignment="1" applyProtection="1">
      <alignment horizontal="center" vertical="center"/>
      <protection locked="0"/>
    </xf>
    <xf numFmtId="0" fontId="1" fillId="0" borderId="62" xfId="0" applyFont="1" applyBorder="1" applyAlignment="1" applyProtection="1">
      <alignment horizontal="center" vertical="center"/>
      <protection locked="0"/>
    </xf>
    <xf numFmtId="0" fontId="2" fillId="0" borderId="67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center" vertical="center" wrapText="1"/>
      <protection locked="0"/>
    </xf>
    <xf numFmtId="0" fontId="2" fillId="0" borderId="43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9" fontId="14" fillId="6" borderId="60" xfId="0" applyNumberFormat="1" applyFont="1" applyFill="1" applyBorder="1" applyAlignment="1">
      <alignment horizontal="center" vertical="center"/>
    </xf>
    <xf numFmtId="9" fontId="15" fillId="6" borderId="36" xfId="0" applyNumberFormat="1" applyFont="1" applyFill="1" applyBorder="1" applyAlignment="1">
      <alignment horizontal="center" vertical="center"/>
    </xf>
    <xf numFmtId="9" fontId="16" fillId="6" borderId="37" xfId="0" applyNumberFormat="1" applyFont="1" applyFill="1" applyBorder="1" applyAlignment="1">
      <alignment horizontal="center" vertical="center"/>
    </xf>
    <xf numFmtId="3" fontId="14" fillId="6" borderId="61" xfId="0" applyNumberFormat="1" applyFont="1" applyFill="1" applyBorder="1" applyAlignment="1">
      <alignment horizontal="center" vertical="center"/>
    </xf>
    <xf numFmtId="3" fontId="14" fillId="6" borderId="60" xfId="0" applyNumberFormat="1" applyFont="1" applyFill="1" applyBorder="1" applyAlignment="1">
      <alignment horizontal="center" vertical="center"/>
    </xf>
    <xf numFmtId="9" fontId="17" fillId="6" borderId="69" xfId="0" applyNumberFormat="1" applyFont="1" applyFill="1" applyBorder="1" applyAlignment="1" applyProtection="1">
      <alignment horizontal="center" vertical="center"/>
    </xf>
    <xf numFmtId="9" fontId="17" fillId="6" borderId="55" xfId="0" applyNumberFormat="1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 wrapText="1"/>
    </xf>
    <xf numFmtId="9" fontId="21" fillId="0" borderId="31" xfId="0" applyNumberFormat="1" applyFont="1" applyBorder="1" applyAlignment="1">
      <alignment horizontal="center" vertical="center" wrapText="1"/>
    </xf>
    <xf numFmtId="9" fontId="20" fillId="0" borderId="56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/>
    </xf>
    <xf numFmtId="9" fontId="6" fillId="0" borderId="40" xfId="0" applyNumberFormat="1" applyFont="1" applyBorder="1" applyAlignment="1" applyProtection="1">
      <alignment horizontal="center" vertical="center"/>
    </xf>
    <xf numFmtId="9" fontId="6" fillId="0" borderId="9" xfId="0" applyNumberFormat="1" applyFont="1" applyBorder="1" applyAlignment="1" applyProtection="1">
      <alignment horizontal="center" vertical="center"/>
    </xf>
    <xf numFmtId="9" fontId="18" fillId="7" borderId="5" xfId="0" applyNumberFormat="1" applyFont="1" applyFill="1" applyBorder="1" applyAlignment="1">
      <alignment horizontal="center" vertical="center" wrapText="1"/>
    </xf>
    <xf numFmtId="9" fontId="19" fillId="7" borderId="31" xfId="0" applyNumberFormat="1" applyFont="1" applyFill="1" applyBorder="1" applyAlignment="1">
      <alignment horizontal="center" vertical="center" wrapText="1"/>
    </xf>
    <xf numFmtId="9" fontId="20" fillId="7" borderId="56" xfId="0" applyNumberFormat="1" applyFont="1" applyFill="1" applyBorder="1" applyAlignment="1">
      <alignment horizontal="center" vertical="center" wrapText="1"/>
    </xf>
    <xf numFmtId="3" fontId="5" fillId="7" borderId="4" xfId="0" applyNumberFormat="1" applyFont="1" applyFill="1" applyBorder="1" applyAlignment="1">
      <alignment horizontal="center" vertical="center"/>
    </xf>
    <xf numFmtId="3" fontId="5" fillId="7" borderId="5" xfId="0" applyNumberFormat="1" applyFont="1" applyFill="1" applyBorder="1" applyAlignment="1">
      <alignment horizontal="center" vertical="center"/>
    </xf>
    <xf numFmtId="9" fontId="6" fillId="7" borderId="40" xfId="0" applyNumberFormat="1" applyFont="1" applyFill="1" applyBorder="1" applyAlignment="1" applyProtection="1">
      <alignment horizontal="center" vertical="center"/>
    </xf>
    <xf numFmtId="9" fontId="6" fillId="7" borderId="9" xfId="0" applyNumberFormat="1" applyFont="1" applyFill="1" applyBorder="1" applyAlignment="1" applyProtection="1">
      <alignment horizontal="center" vertical="center"/>
    </xf>
    <xf numFmtId="9" fontId="14" fillId="8" borderId="60" xfId="0" applyNumberFormat="1" applyFont="1" applyFill="1" applyBorder="1" applyAlignment="1">
      <alignment horizontal="center" vertical="center" wrapText="1"/>
    </xf>
    <xf numFmtId="9" fontId="15" fillId="8" borderId="36" xfId="0" applyNumberFormat="1" applyFont="1" applyFill="1" applyBorder="1" applyAlignment="1">
      <alignment horizontal="center" vertical="center" wrapText="1"/>
    </xf>
    <xf numFmtId="9" fontId="16" fillId="8" borderId="37" xfId="0" applyNumberFormat="1" applyFont="1" applyFill="1" applyBorder="1" applyAlignment="1">
      <alignment horizontal="center" vertical="center" wrapText="1"/>
    </xf>
    <xf numFmtId="3" fontId="14" fillId="8" borderId="61" xfId="0" applyNumberFormat="1" applyFont="1" applyFill="1" applyBorder="1" applyAlignment="1">
      <alignment horizontal="center" vertical="center"/>
    </xf>
    <xf numFmtId="3" fontId="14" fillId="8" borderId="60" xfId="0" applyNumberFormat="1" applyFont="1" applyFill="1" applyBorder="1" applyAlignment="1">
      <alignment horizontal="center" vertical="center"/>
    </xf>
    <xf numFmtId="9" fontId="14" fillId="9" borderId="69" xfId="0" applyNumberFormat="1" applyFont="1" applyFill="1" applyBorder="1" applyAlignment="1" applyProtection="1">
      <alignment horizontal="center" vertical="center"/>
    </xf>
    <xf numFmtId="9" fontId="14" fillId="9" borderId="55" xfId="0" applyNumberFormat="1" applyFont="1" applyFill="1" applyBorder="1" applyAlignment="1" applyProtection="1">
      <alignment horizontal="center" vertical="center"/>
    </xf>
    <xf numFmtId="9" fontId="8" fillId="2" borderId="60" xfId="0" applyNumberFormat="1" applyFont="1" applyFill="1" applyBorder="1" applyAlignment="1">
      <alignment horizontal="center" vertical="center" wrapText="1"/>
    </xf>
    <xf numFmtId="9" fontId="8" fillId="2" borderId="36" xfId="0" applyNumberFormat="1" applyFont="1" applyFill="1" applyBorder="1" applyAlignment="1">
      <alignment horizontal="center" vertical="center" wrapText="1"/>
    </xf>
    <xf numFmtId="9" fontId="22" fillId="2" borderId="37" xfId="0" applyNumberFormat="1" applyFont="1" applyFill="1" applyBorder="1" applyAlignment="1">
      <alignment horizontal="center" vertical="center" wrapText="1"/>
    </xf>
    <xf numFmtId="3" fontId="8" fillId="2" borderId="61" xfId="0" applyNumberFormat="1" applyFont="1" applyFill="1" applyBorder="1" applyAlignment="1">
      <alignment horizontal="center" vertical="center"/>
    </xf>
    <xf numFmtId="3" fontId="8" fillId="2" borderId="60" xfId="0" applyNumberFormat="1" applyFont="1" applyFill="1" applyBorder="1" applyAlignment="1">
      <alignment horizontal="center" vertical="center"/>
    </xf>
    <xf numFmtId="9" fontId="4" fillId="2" borderId="60" xfId="0" applyNumberFormat="1" applyFont="1" applyFill="1" applyBorder="1" applyAlignment="1" applyProtection="1">
      <alignment horizontal="center" vertical="center"/>
    </xf>
    <xf numFmtId="9" fontId="4" fillId="2" borderId="55" xfId="0" applyNumberFormat="1" applyFont="1" applyFill="1" applyBorder="1" applyAlignment="1" applyProtection="1">
      <alignment horizontal="center" vertical="center"/>
    </xf>
    <xf numFmtId="0" fontId="8" fillId="0" borderId="0" xfId="0" applyFont="1"/>
    <xf numFmtId="0" fontId="21" fillId="0" borderId="0" xfId="0" applyFont="1"/>
    <xf numFmtId="0" fontId="8" fillId="0" borderId="0" xfId="0" applyFont="1" applyAlignment="1">
      <alignment vertical="center"/>
    </xf>
    <xf numFmtId="164" fontId="21" fillId="0" borderId="0" xfId="0" applyNumberFormat="1" applyFont="1" applyAlignment="1">
      <alignment horizontal="left"/>
    </xf>
    <xf numFmtId="165" fontId="5" fillId="0" borderId="49" xfId="0" applyNumberFormat="1" applyFont="1" applyBorder="1" applyAlignment="1">
      <alignment horizontal="center" vertical="center"/>
    </xf>
    <xf numFmtId="0" fontId="15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justify" vertical="center" wrapText="1"/>
    </xf>
    <xf numFmtId="0" fontId="5" fillId="0" borderId="51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justify" vertical="center" wrapText="1"/>
    </xf>
    <xf numFmtId="0" fontId="5" fillId="0" borderId="50" xfId="0" applyFont="1" applyBorder="1" applyAlignment="1">
      <alignment horizontal="justify" vertical="center" wrapText="1"/>
    </xf>
    <xf numFmtId="0" fontId="5" fillId="0" borderId="44" xfId="0" applyFont="1" applyBorder="1" applyAlignment="1">
      <alignment horizontal="justify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5" fillId="0" borderId="2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44" xfId="0" applyFont="1" applyFill="1" applyBorder="1" applyAlignment="1">
      <alignment horizontal="center" vertical="center" wrapText="1"/>
    </xf>
    <xf numFmtId="0" fontId="2" fillId="4" borderId="65" xfId="0" applyFont="1" applyFill="1" applyBorder="1" applyAlignment="1">
      <alignment horizontal="center" vertical="center" wrapText="1"/>
    </xf>
    <xf numFmtId="0" fontId="2" fillId="0" borderId="62" xfId="0" applyFont="1" applyBorder="1" applyAlignment="1" applyProtection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6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42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center" vertical="center" wrapText="1"/>
    </xf>
    <xf numFmtId="0" fontId="2" fillId="4" borderId="59" xfId="0" applyFont="1" applyFill="1" applyBorder="1" applyAlignment="1">
      <alignment horizontal="center" vertical="center" wrapText="1"/>
    </xf>
    <xf numFmtId="0" fontId="14" fillId="8" borderId="36" xfId="0" applyFont="1" applyFill="1" applyBorder="1" applyAlignment="1">
      <alignment horizontal="justify" vertical="center"/>
    </xf>
    <xf numFmtId="0" fontId="14" fillId="8" borderId="68" xfId="0" applyFont="1" applyFill="1" applyBorder="1" applyAlignment="1">
      <alignment horizontal="justify" vertical="center"/>
    </xf>
    <xf numFmtId="0" fontId="18" fillId="7" borderId="31" xfId="0" applyFont="1" applyFill="1" applyBorder="1" applyAlignment="1">
      <alignment horizontal="justify" vertical="center"/>
    </xf>
    <xf numFmtId="0" fontId="18" fillId="7" borderId="51" xfId="0" applyFont="1" applyFill="1" applyBorder="1" applyAlignment="1">
      <alignment horizontal="justify" vertical="center"/>
    </xf>
    <xf numFmtId="0" fontId="5" fillId="0" borderId="31" xfId="0" applyFont="1" applyBorder="1" applyAlignment="1">
      <alignment horizontal="justify" vertical="center"/>
    </xf>
    <xf numFmtId="0" fontId="5" fillId="0" borderId="51" xfId="0" applyFont="1" applyBorder="1" applyAlignment="1">
      <alignment horizontal="justify" vertical="center"/>
    </xf>
    <xf numFmtId="0" fontId="8" fillId="2" borderId="36" xfId="0" applyFont="1" applyFill="1" applyBorder="1" applyAlignment="1">
      <alignment horizontal="justify" vertical="center"/>
    </xf>
    <xf numFmtId="0" fontId="8" fillId="2" borderId="68" xfId="0" applyFont="1" applyFill="1" applyBorder="1" applyAlignment="1">
      <alignment horizontal="justify" vertical="center"/>
    </xf>
    <xf numFmtId="0" fontId="11" fillId="0" borderId="6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4" fillId="6" borderId="36" xfId="0" applyFont="1" applyFill="1" applyBorder="1" applyAlignment="1">
      <alignment horizontal="justify" vertical="center"/>
    </xf>
    <xf numFmtId="0" fontId="14" fillId="6" borderId="68" xfId="0" applyFont="1" applyFill="1" applyBorder="1" applyAlignment="1">
      <alignment horizontal="justify" vertical="center"/>
    </xf>
    <xf numFmtId="0" fontId="13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2" fillId="5" borderId="27" xfId="0" applyFont="1" applyFill="1" applyBorder="1" applyAlignment="1" applyProtection="1">
      <alignment horizontal="center" vertical="center" wrapText="1"/>
      <protection locked="0"/>
    </xf>
    <xf numFmtId="0" fontId="2" fillId="5" borderId="21" xfId="0" applyFont="1" applyFill="1" applyBorder="1" applyAlignment="1" applyProtection="1">
      <alignment horizontal="center" vertical="center" wrapText="1"/>
      <protection locked="0"/>
    </xf>
    <xf numFmtId="0" fontId="2" fillId="5" borderId="46" xfId="0" applyFont="1" applyFill="1" applyBorder="1" applyAlignment="1" applyProtection="1">
      <alignment horizontal="center" vertical="center" wrapText="1"/>
      <protection locked="0"/>
    </xf>
    <xf numFmtId="0" fontId="2" fillId="5" borderId="66" xfId="0" applyFont="1" applyFill="1" applyBorder="1" applyAlignment="1" applyProtection="1">
      <alignment horizontal="center" vertical="center" wrapText="1"/>
      <protection locked="0"/>
    </xf>
    <xf numFmtId="0" fontId="1" fillId="5" borderId="27" xfId="0" applyFont="1" applyFill="1" applyBorder="1" applyAlignment="1" applyProtection="1">
      <alignment horizontal="center" vertical="center" wrapText="1"/>
      <protection locked="0"/>
    </xf>
    <xf numFmtId="0" fontId="1" fillId="5" borderId="12" xfId="0" applyFont="1" applyFill="1" applyBorder="1" applyAlignment="1" applyProtection="1">
      <alignment horizontal="center" vertical="center" wrapText="1"/>
      <protection locked="0"/>
    </xf>
    <xf numFmtId="0" fontId="1" fillId="5" borderId="46" xfId="0" applyFont="1" applyFill="1" applyBorder="1" applyAlignment="1" applyProtection="1">
      <alignment horizontal="center" vertical="center" wrapText="1"/>
      <protection locked="0"/>
    </xf>
    <xf numFmtId="0" fontId="1" fillId="5" borderId="18" xfId="0" applyFont="1" applyFill="1" applyBorder="1" applyAlignment="1" applyProtection="1">
      <alignment horizontal="center" vertical="center" wrapText="1"/>
      <protection locked="0"/>
    </xf>
    <xf numFmtId="0" fontId="1" fillId="0" borderId="50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</cellXfs>
  <cellStyles count="8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1625600</xdr:colOff>
      <xdr:row>0</xdr:row>
      <xdr:rowOff>101600</xdr:rowOff>
    </xdr:from>
    <xdr:to>
      <xdr:col>5</xdr:col>
      <xdr:colOff>254000</xdr:colOff>
      <xdr:row>5</xdr:row>
      <xdr:rowOff>139700</xdr:rowOff>
    </xdr:to>
    <xdr:pic>
      <xdr:nvPicPr>
        <xdr:cNvPr id="4270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5600" y="1016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1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1625600</xdr:colOff>
      <xdr:row>0</xdr:row>
      <xdr:rowOff>101600</xdr:rowOff>
    </xdr:from>
    <xdr:to>
      <xdr:col>5</xdr:col>
      <xdr:colOff>254000</xdr:colOff>
      <xdr:row>5</xdr:row>
      <xdr:rowOff>139700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5600" y="1016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1625600</xdr:colOff>
      <xdr:row>0</xdr:row>
      <xdr:rowOff>101600</xdr:rowOff>
    </xdr:from>
    <xdr:to>
      <xdr:col>5</xdr:col>
      <xdr:colOff>254000</xdr:colOff>
      <xdr:row>5</xdr:row>
      <xdr:rowOff>139700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5600" y="1016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330200</xdr:colOff>
      <xdr:row>1</xdr:row>
      <xdr:rowOff>215900</xdr:rowOff>
    </xdr:from>
    <xdr:to>
      <xdr:col>17</xdr:col>
      <xdr:colOff>723900</xdr:colOff>
      <xdr:row>5</xdr:row>
      <xdr:rowOff>152400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519900" y="406400"/>
          <a:ext cx="24892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1625600</xdr:colOff>
      <xdr:row>0</xdr:row>
      <xdr:rowOff>101600</xdr:rowOff>
    </xdr:from>
    <xdr:to>
      <xdr:col>5</xdr:col>
      <xdr:colOff>254000</xdr:colOff>
      <xdr:row>5</xdr:row>
      <xdr:rowOff>139700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5600" y="1016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406400</xdr:colOff>
      <xdr:row>1</xdr:row>
      <xdr:rowOff>139700</xdr:rowOff>
    </xdr:from>
    <xdr:to>
      <xdr:col>17</xdr:col>
      <xdr:colOff>1130300</xdr:colOff>
      <xdr:row>5</xdr:row>
      <xdr:rowOff>76200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596100" y="330200"/>
          <a:ext cx="2819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1244600</xdr:colOff>
      <xdr:row>1</xdr:row>
      <xdr:rowOff>0</xdr:rowOff>
    </xdr:from>
    <xdr:to>
      <xdr:col>4</xdr:col>
      <xdr:colOff>749300</xdr:colOff>
      <xdr:row>6</xdr:row>
      <xdr:rowOff>25400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4600" y="190500"/>
          <a:ext cx="1257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546100</xdr:colOff>
      <xdr:row>1</xdr:row>
      <xdr:rowOff>88900</xdr:rowOff>
    </xdr:from>
    <xdr:to>
      <xdr:col>21</xdr:col>
      <xdr:colOff>889000</xdr:colOff>
      <xdr:row>5</xdr:row>
      <xdr:rowOff>25400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3507700" y="279400"/>
          <a:ext cx="2438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1435100</xdr:colOff>
      <xdr:row>3</xdr:row>
      <xdr:rowOff>50800</xdr:rowOff>
    </xdr:from>
    <xdr:to>
      <xdr:col>2</xdr:col>
      <xdr:colOff>2438400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57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3162300</xdr:colOff>
      <xdr:row>3</xdr:row>
      <xdr:rowOff>76200</xdr:rowOff>
    </xdr:from>
    <xdr:to>
      <xdr:col>3</xdr:col>
      <xdr:colOff>977900</xdr:colOff>
      <xdr:row>6</xdr:row>
      <xdr:rowOff>254000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4152900" y="749300"/>
          <a:ext cx="1841500" cy="86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8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76" t="s">
        <v>16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</row>
    <row r="3" spans="2:20" ht="20" customHeight="1">
      <c r="B3" s="176" t="s">
        <v>19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</row>
    <row r="4" spans="2:20" ht="20" customHeight="1">
      <c r="B4" s="176" t="s">
        <v>27</v>
      </c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8">
        <v>42735</v>
      </c>
      <c r="D8" s="177" t="s">
        <v>3</v>
      </c>
      <c r="E8" s="178"/>
      <c r="F8" s="178"/>
      <c r="G8" s="178"/>
      <c r="H8" s="178"/>
      <c r="I8" s="178"/>
      <c r="J8" s="178"/>
      <c r="K8" s="179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80" t="s">
        <v>17</v>
      </c>
      <c r="C9" s="183" t="s">
        <v>18</v>
      </c>
      <c r="D9" s="185" t="s">
        <v>0</v>
      </c>
      <c r="E9" s="188" t="s">
        <v>4</v>
      </c>
      <c r="F9" s="188"/>
      <c r="G9" s="188" t="s">
        <v>5</v>
      </c>
      <c r="H9" s="188"/>
      <c r="I9" s="188"/>
      <c r="J9" s="188"/>
      <c r="K9" s="190"/>
      <c r="L9" s="5"/>
      <c r="M9" s="185" t="s">
        <v>6</v>
      </c>
      <c r="N9" s="190"/>
      <c r="O9" s="199" t="s">
        <v>24</v>
      </c>
      <c r="P9" s="200"/>
      <c r="Q9" s="200"/>
      <c r="R9" s="200"/>
      <c r="S9" s="200"/>
      <c r="T9" s="201"/>
    </row>
    <row r="10" spans="2:20" ht="17" customHeight="1">
      <c r="B10" s="181"/>
      <c r="C10" s="184"/>
      <c r="D10" s="186"/>
      <c r="E10" s="189"/>
      <c r="F10" s="189"/>
      <c r="G10" s="189" t="s">
        <v>7</v>
      </c>
      <c r="H10" s="161" t="s">
        <v>25</v>
      </c>
      <c r="I10" s="161" t="s">
        <v>26</v>
      </c>
      <c r="J10" s="193" t="s">
        <v>1</v>
      </c>
      <c r="K10" s="191" t="s">
        <v>8</v>
      </c>
      <c r="L10" s="6"/>
      <c r="M10" s="195" t="s">
        <v>9</v>
      </c>
      <c r="N10" s="197" t="s">
        <v>10</v>
      </c>
      <c r="O10" s="202"/>
      <c r="P10" s="203"/>
      <c r="Q10" s="203"/>
      <c r="R10" s="203"/>
      <c r="S10" s="203"/>
      <c r="T10" s="204"/>
    </row>
    <row r="11" spans="2:20" ht="37.5" customHeight="1" thickBot="1">
      <c r="B11" s="182"/>
      <c r="C11" s="184"/>
      <c r="D11" s="187"/>
      <c r="E11" s="21" t="s">
        <v>11</v>
      </c>
      <c r="F11" s="21" t="s">
        <v>12</v>
      </c>
      <c r="G11" s="161"/>
      <c r="H11" s="162"/>
      <c r="I11" s="162"/>
      <c r="J11" s="194"/>
      <c r="K11" s="192"/>
      <c r="L11" s="22"/>
      <c r="M11" s="196"/>
      <c r="N11" s="198"/>
      <c r="O11" s="23" t="s">
        <v>23</v>
      </c>
      <c r="P11" s="24" t="s">
        <v>20</v>
      </c>
      <c r="Q11" s="25" t="s">
        <v>21</v>
      </c>
      <c r="R11" s="26" t="s">
        <v>22</v>
      </c>
      <c r="S11" s="26" t="s">
        <v>14</v>
      </c>
      <c r="T11" s="27" t="s">
        <v>15</v>
      </c>
    </row>
    <row r="12" spans="2:20" ht="45">
      <c r="B12" s="163" t="s">
        <v>36</v>
      </c>
      <c r="C12" s="173" t="s">
        <v>37</v>
      </c>
      <c r="D12" s="171" t="s">
        <v>38</v>
      </c>
      <c r="E12" s="37">
        <v>42370</v>
      </c>
      <c r="F12" s="37">
        <v>42735</v>
      </c>
      <c r="G12" s="74" t="s">
        <v>28</v>
      </c>
      <c r="H12" s="38">
        <v>1</v>
      </c>
      <c r="I12" s="38">
        <v>1</v>
      </c>
      <c r="J12" s="38">
        <v>1</v>
      </c>
      <c r="K12" s="76">
        <v>0.85</v>
      </c>
      <c r="L12" s="62">
        <f>+K12/J12</f>
        <v>0.85</v>
      </c>
      <c r="M12" s="72">
        <f>DAYS360(E12,$C$8)/DAYS360(E12,F12)</f>
        <v>1</v>
      </c>
      <c r="N12" s="19">
        <f>IF(J12=0," -",IF(L12&gt;100%,100%,L12))</f>
        <v>0.85</v>
      </c>
      <c r="O12" s="65" t="s">
        <v>59</v>
      </c>
      <c r="P12" s="38">
        <v>0</v>
      </c>
      <c r="Q12" s="38">
        <v>0</v>
      </c>
      <c r="R12" s="38">
        <v>0</v>
      </c>
      <c r="S12" s="18" t="str">
        <f>IF(P12=0," -",Q12/P12)</f>
        <v xml:space="preserve"> -</v>
      </c>
      <c r="T12" s="19" t="str">
        <f>IF(R12=0," -",IF(Q12=0,100%,R12/Q12))</f>
        <v xml:space="preserve"> -</v>
      </c>
    </row>
    <row r="13" spans="2:20" ht="46" thickBot="1">
      <c r="B13" s="164"/>
      <c r="C13" s="175"/>
      <c r="D13" s="172"/>
      <c r="E13" s="45">
        <v>42370</v>
      </c>
      <c r="F13" s="45">
        <v>42735</v>
      </c>
      <c r="G13" s="46" t="s">
        <v>29</v>
      </c>
      <c r="H13" s="47">
        <v>300</v>
      </c>
      <c r="I13" s="47">
        <v>0</v>
      </c>
      <c r="J13" s="47">
        <v>0</v>
      </c>
      <c r="K13" s="52">
        <v>0</v>
      </c>
      <c r="L13" s="63" t="e">
        <f t="shared" ref="L13:L17" si="0">+K13/J13</f>
        <v>#DIV/0!</v>
      </c>
      <c r="M13" s="73">
        <f t="shared" ref="M13:M17" si="1">DAYS360(E13,$C$8)/DAYS360(E13,F13)</f>
        <v>1</v>
      </c>
      <c r="N13" s="44" t="str">
        <f t="shared" ref="N13:N17" si="2">IF(J13=0," -",IF(L13&gt;100%,100%,L13))</f>
        <v xml:space="preserve"> -</v>
      </c>
      <c r="O13" s="66" t="s">
        <v>59</v>
      </c>
      <c r="P13" s="42">
        <v>0</v>
      </c>
      <c r="Q13" s="42">
        <v>0</v>
      </c>
      <c r="R13" s="42">
        <v>0</v>
      </c>
      <c r="S13" s="43" t="str">
        <f t="shared" ref="S13:S17" si="3">IF(P13=0," -",Q13/P13)</f>
        <v xml:space="preserve"> -</v>
      </c>
      <c r="T13" s="44" t="str">
        <f t="shared" ref="T13:T17" si="4">IF(R13=0," -",IF(Q13=0,100%,R13/Q13))</f>
        <v xml:space="preserve"> -</v>
      </c>
    </row>
    <row r="14" spans="2:20" ht="13" customHeight="1" thickBot="1">
      <c r="B14" s="11"/>
      <c r="C14" s="12"/>
      <c r="D14" s="20"/>
      <c r="E14" s="13"/>
      <c r="F14" s="13"/>
      <c r="G14" s="12"/>
      <c r="H14" s="14"/>
      <c r="I14" s="14"/>
      <c r="J14" s="14"/>
      <c r="K14" s="14"/>
      <c r="L14" s="15"/>
      <c r="M14" s="16"/>
      <c r="N14" s="16"/>
      <c r="O14" s="12"/>
      <c r="P14" s="14"/>
      <c r="Q14" s="14"/>
      <c r="R14" s="14"/>
      <c r="S14" s="16"/>
      <c r="T14" s="17"/>
    </row>
    <row r="15" spans="2:20" ht="30">
      <c r="B15" s="165" t="s">
        <v>35</v>
      </c>
      <c r="C15" s="173" t="s">
        <v>34</v>
      </c>
      <c r="D15" s="168" t="s">
        <v>33</v>
      </c>
      <c r="E15" s="48">
        <v>42370</v>
      </c>
      <c r="F15" s="48">
        <v>42735</v>
      </c>
      <c r="G15" s="49" t="s">
        <v>30</v>
      </c>
      <c r="H15" s="50">
        <v>5000</v>
      </c>
      <c r="I15" s="50">
        <v>2000</v>
      </c>
      <c r="J15" s="50">
        <v>2000</v>
      </c>
      <c r="K15" s="53">
        <v>3138</v>
      </c>
      <c r="L15" s="62">
        <f t="shared" si="0"/>
        <v>1.569</v>
      </c>
      <c r="M15" s="72">
        <f t="shared" si="1"/>
        <v>1</v>
      </c>
      <c r="N15" s="19">
        <f t="shared" si="2"/>
        <v>1</v>
      </c>
      <c r="O15" s="65" t="s">
        <v>59</v>
      </c>
      <c r="P15" s="38">
        <v>0</v>
      </c>
      <c r="Q15" s="38">
        <v>0</v>
      </c>
      <c r="R15" s="38">
        <v>0</v>
      </c>
      <c r="S15" s="18" t="str">
        <f t="shared" si="3"/>
        <v xml:space="preserve"> -</v>
      </c>
      <c r="T15" s="19" t="str">
        <f t="shared" si="4"/>
        <v xml:space="preserve"> -</v>
      </c>
    </row>
    <row r="16" spans="2:20" ht="30">
      <c r="B16" s="166"/>
      <c r="C16" s="174"/>
      <c r="D16" s="169"/>
      <c r="E16" s="34">
        <v>42370</v>
      </c>
      <c r="F16" s="34">
        <v>42735</v>
      </c>
      <c r="G16" s="10" t="s">
        <v>31</v>
      </c>
      <c r="H16" s="35">
        <v>200000</v>
      </c>
      <c r="I16" s="35">
        <v>50000</v>
      </c>
      <c r="J16" s="35">
        <v>50000</v>
      </c>
      <c r="K16" s="54">
        <v>79794</v>
      </c>
      <c r="L16" s="64">
        <f t="shared" si="0"/>
        <v>1.59588</v>
      </c>
      <c r="M16" s="75">
        <f t="shared" si="1"/>
        <v>1</v>
      </c>
      <c r="N16" s="39">
        <f t="shared" si="2"/>
        <v>1</v>
      </c>
      <c r="O16" s="67" t="s">
        <v>59</v>
      </c>
      <c r="P16" s="35">
        <v>0</v>
      </c>
      <c r="Q16" s="35">
        <v>0</v>
      </c>
      <c r="R16" s="35">
        <v>0</v>
      </c>
      <c r="S16" s="36" t="str">
        <f t="shared" si="3"/>
        <v xml:space="preserve"> -</v>
      </c>
      <c r="T16" s="39" t="str">
        <f t="shared" si="4"/>
        <v xml:space="preserve"> -</v>
      </c>
    </row>
    <row r="17" spans="2:20" ht="46" thickBot="1">
      <c r="B17" s="167"/>
      <c r="C17" s="175"/>
      <c r="D17" s="170"/>
      <c r="E17" s="40">
        <v>42370</v>
      </c>
      <c r="F17" s="40">
        <v>42735</v>
      </c>
      <c r="G17" s="41" t="s">
        <v>32</v>
      </c>
      <c r="H17" s="42">
        <v>200</v>
      </c>
      <c r="I17" s="42">
        <v>50</v>
      </c>
      <c r="J17" s="42">
        <v>50</v>
      </c>
      <c r="K17" s="55">
        <v>68</v>
      </c>
      <c r="L17" s="63">
        <f t="shared" si="0"/>
        <v>1.36</v>
      </c>
      <c r="M17" s="73">
        <f t="shared" si="1"/>
        <v>1</v>
      </c>
      <c r="N17" s="44">
        <f t="shared" si="2"/>
        <v>1</v>
      </c>
      <c r="O17" s="66" t="s">
        <v>59</v>
      </c>
      <c r="P17" s="42">
        <v>0</v>
      </c>
      <c r="Q17" s="42">
        <v>0</v>
      </c>
      <c r="R17" s="42">
        <v>0</v>
      </c>
      <c r="S17" s="43" t="str">
        <f t="shared" si="3"/>
        <v xml:space="preserve"> -</v>
      </c>
      <c r="T17" s="44" t="str">
        <f t="shared" si="4"/>
        <v xml:space="preserve"> -</v>
      </c>
    </row>
    <row r="18" spans="2:20" ht="21" customHeight="1" thickBot="1">
      <c r="M18" s="28">
        <f>+AVERAGE(M12:M13,M15:M17)</f>
        <v>1</v>
      </c>
      <c r="N18" s="29">
        <f>+AVERAGE(N12:N13,N15:N17)</f>
        <v>0.96250000000000002</v>
      </c>
      <c r="O18" s="30"/>
      <c r="P18" s="31">
        <f>+SUM(P12:P13,P15:P17)</f>
        <v>0</v>
      </c>
      <c r="Q18" s="32">
        <f>+SUM(Q12:Q13,Q15:Q17)</f>
        <v>0</v>
      </c>
      <c r="R18" s="32">
        <f>+SUM(R12:R13,R15:R17)</f>
        <v>0</v>
      </c>
      <c r="S18" s="33" t="str">
        <f t="shared" ref="S18" si="5">IF(P18=0," -",Q18/P18)</f>
        <v xml:space="preserve"> -</v>
      </c>
      <c r="T18" s="29" t="str">
        <f t="shared" ref="T18" si="6">IF(R18=0," -",IF(Q18=0,100%,R18/Q18))</f>
        <v xml:space="preserve"> -</v>
      </c>
    </row>
  </sheetData>
  <mergeCells count="24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N10:N11"/>
    <mergeCell ref="O9:T10"/>
    <mergeCell ref="H10:H11"/>
    <mergeCell ref="I10:I11"/>
    <mergeCell ref="B12:B13"/>
    <mergeCell ref="B15:B17"/>
    <mergeCell ref="D15:D17"/>
    <mergeCell ref="D12:D13"/>
    <mergeCell ref="C15:C17"/>
    <mergeCell ref="C12:C13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8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76" t="s">
        <v>16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</row>
    <row r="3" spans="2:20" ht="20" customHeight="1">
      <c r="B3" s="176" t="s">
        <v>19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</row>
    <row r="4" spans="2:20" ht="20" customHeight="1">
      <c r="B4" s="176" t="s">
        <v>27</v>
      </c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8">
        <v>43100</v>
      </c>
      <c r="D8" s="177" t="s">
        <v>3</v>
      </c>
      <c r="E8" s="178"/>
      <c r="F8" s="178"/>
      <c r="G8" s="178"/>
      <c r="H8" s="178"/>
      <c r="I8" s="178"/>
      <c r="J8" s="178"/>
      <c r="K8" s="179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80" t="s">
        <v>17</v>
      </c>
      <c r="C9" s="183" t="s">
        <v>18</v>
      </c>
      <c r="D9" s="185" t="s">
        <v>0</v>
      </c>
      <c r="E9" s="188" t="s">
        <v>4</v>
      </c>
      <c r="F9" s="188"/>
      <c r="G9" s="188" t="s">
        <v>5</v>
      </c>
      <c r="H9" s="188"/>
      <c r="I9" s="188"/>
      <c r="J9" s="188"/>
      <c r="K9" s="190"/>
      <c r="L9" s="5"/>
      <c r="M9" s="185" t="s">
        <v>6</v>
      </c>
      <c r="N9" s="190"/>
      <c r="O9" s="199" t="s">
        <v>24</v>
      </c>
      <c r="P9" s="200"/>
      <c r="Q9" s="200"/>
      <c r="R9" s="200"/>
      <c r="S9" s="200"/>
      <c r="T9" s="201"/>
    </row>
    <row r="10" spans="2:20" ht="17" customHeight="1">
      <c r="B10" s="181"/>
      <c r="C10" s="184"/>
      <c r="D10" s="186"/>
      <c r="E10" s="189"/>
      <c r="F10" s="189"/>
      <c r="G10" s="189" t="s">
        <v>7</v>
      </c>
      <c r="H10" s="161" t="s">
        <v>25</v>
      </c>
      <c r="I10" s="161" t="s">
        <v>26</v>
      </c>
      <c r="J10" s="193" t="s">
        <v>1</v>
      </c>
      <c r="K10" s="191" t="s">
        <v>8</v>
      </c>
      <c r="L10" s="6"/>
      <c r="M10" s="195" t="s">
        <v>9</v>
      </c>
      <c r="N10" s="197" t="s">
        <v>10</v>
      </c>
      <c r="O10" s="202"/>
      <c r="P10" s="203"/>
      <c r="Q10" s="203"/>
      <c r="R10" s="203"/>
      <c r="S10" s="203"/>
      <c r="T10" s="204"/>
    </row>
    <row r="11" spans="2:20" ht="37.5" customHeight="1" thickBot="1">
      <c r="B11" s="182"/>
      <c r="C11" s="184"/>
      <c r="D11" s="187"/>
      <c r="E11" s="21" t="s">
        <v>11</v>
      </c>
      <c r="F11" s="21" t="s">
        <v>12</v>
      </c>
      <c r="G11" s="161"/>
      <c r="H11" s="162"/>
      <c r="I11" s="162"/>
      <c r="J11" s="194"/>
      <c r="K11" s="192"/>
      <c r="L11" s="22"/>
      <c r="M11" s="196"/>
      <c r="N11" s="198"/>
      <c r="O11" s="23" t="s">
        <v>23</v>
      </c>
      <c r="P11" s="24" t="s">
        <v>20</v>
      </c>
      <c r="Q11" s="25" t="s">
        <v>21</v>
      </c>
      <c r="R11" s="26" t="s">
        <v>22</v>
      </c>
      <c r="S11" s="26" t="s">
        <v>14</v>
      </c>
      <c r="T11" s="27" t="s">
        <v>15</v>
      </c>
    </row>
    <row r="12" spans="2:20" ht="45">
      <c r="B12" s="163" t="s">
        <v>36</v>
      </c>
      <c r="C12" s="173" t="s">
        <v>37</v>
      </c>
      <c r="D12" s="171" t="s">
        <v>38</v>
      </c>
      <c r="E12" s="37">
        <v>42736</v>
      </c>
      <c r="F12" s="37">
        <v>43100</v>
      </c>
      <c r="G12" s="74" t="s">
        <v>28</v>
      </c>
      <c r="H12" s="38">
        <v>1</v>
      </c>
      <c r="I12" s="38">
        <f>+J12</f>
        <v>1</v>
      </c>
      <c r="J12" s="38">
        <v>1</v>
      </c>
      <c r="K12" s="159">
        <v>0.53600000000000003</v>
      </c>
      <c r="L12" s="62">
        <f>+K12/J12</f>
        <v>0.53600000000000003</v>
      </c>
      <c r="M12" s="72">
        <f>DAYS360(E12,$C$8)/DAYS360(E12,F12)</f>
        <v>1</v>
      </c>
      <c r="N12" s="19">
        <f>IF(J12=0," -",IF(L12&gt;100%,100%,L12))</f>
        <v>0.53600000000000003</v>
      </c>
      <c r="O12" s="65" t="s">
        <v>59</v>
      </c>
      <c r="P12" s="38">
        <v>0</v>
      </c>
      <c r="Q12" s="38">
        <v>0</v>
      </c>
      <c r="R12" s="38">
        <v>0</v>
      </c>
      <c r="S12" s="18" t="str">
        <f>IF(P12=0," -",Q12/P12)</f>
        <v xml:space="preserve"> -</v>
      </c>
      <c r="T12" s="19" t="str">
        <f>IF(R12=0," -",IF(Q12=0,100%,R12/Q12))</f>
        <v xml:space="preserve"> -</v>
      </c>
    </row>
    <row r="13" spans="2:20" ht="46" thickBot="1">
      <c r="B13" s="164"/>
      <c r="C13" s="175"/>
      <c r="D13" s="172"/>
      <c r="E13" s="45">
        <v>42736</v>
      </c>
      <c r="F13" s="45">
        <v>43100</v>
      </c>
      <c r="G13" s="46" t="s">
        <v>29</v>
      </c>
      <c r="H13" s="47">
        <v>300</v>
      </c>
      <c r="I13" s="47">
        <f>+J13+('2016'!I13-'2016'!K13)</f>
        <v>0</v>
      </c>
      <c r="J13" s="47">
        <v>0</v>
      </c>
      <c r="K13" s="52">
        <v>0</v>
      </c>
      <c r="L13" s="63" t="e">
        <f t="shared" ref="L13:L17" si="0">+K13/J13</f>
        <v>#DIV/0!</v>
      </c>
      <c r="M13" s="73">
        <f t="shared" ref="M13:M17" si="1">DAYS360(E13,$C$8)/DAYS360(E13,F13)</f>
        <v>1</v>
      </c>
      <c r="N13" s="44" t="str">
        <f t="shared" ref="N13:N17" si="2">IF(J13=0," -",IF(L13&gt;100%,100%,L13))</f>
        <v xml:space="preserve"> -</v>
      </c>
      <c r="O13" s="66" t="s">
        <v>59</v>
      </c>
      <c r="P13" s="42">
        <v>0</v>
      </c>
      <c r="Q13" s="42">
        <v>0</v>
      </c>
      <c r="R13" s="42">
        <v>0</v>
      </c>
      <c r="S13" s="43" t="str">
        <f t="shared" ref="S13:S18" si="3">IF(P13=0," -",Q13/P13)</f>
        <v xml:space="preserve"> -</v>
      </c>
      <c r="T13" s="44" t="str">
        <f t="shared" ref="T13:T18" si="4">IF(R13=0," -",IF(Q13=0,100%,R13/Q13))</f>
        <v xml:space="preserve"> -</v>
      </c>
    </row>
    <row r="14" spans="2:20" ht="13" customHeight="1" thickBot="1">
      <c r="B14" s="11"/>
      <c r="C14" s="12"/>
      <c r="D14" s="20"/>
      <c r="E14" s="13"/>
      <c r="F14" s="13"/>
      <c r="G14" s="12"/>
      <c r="H14" s="14"/>
      <c r="I14" s="14"/>
      <c r="J14" s="14"/>
      <c r="K14" s="14"/>
      <c r="L14" s="15"/>
      <c r="M14" s="16"/>
      <c r="N14" s="16"/>
      <c r="O14" s="12"/>
      <c r="P14" s="14"/>
      <c r="Q14" s="14"/>
      <c r="R14" s="14"/>
      <c r="S14" s="16"/>
      <c r="T14" s="17"/>
    </row>
    <row r="15" spans="2:20" ht="30">
      <c r="B15" s="165" t="s">
        <v>35</v>
      </c>
      <c r="C15" s="173" t="s">
        <v>34</v>
      </c>
      <c r="D15" s="168" t="s">
        <v>33</v>
      </c>
      <c r="E15" s="48">
        <v>42736</v>
      </c>
      <c r="F15" s="48">
        <v>43100</v>
      </c>
      <c r="G15" s="49" t="s">
        <v>30</v>
      </c>
      <c r="H15" s="50">
        <v>5000</v>
      </c>
      <c r="I15" s="47">
        <f>+J15+('2016'!I15-'2016'!K15)</f>
        <v>-138</v>
      </c>
      <c r="J15" s="50">
        <v>1000</v>
      </c>
      <c r="K15" s="53">
        <v>11192</v>
      </c>
      <c r="L15" s="62">
        <f t="shared" si="0"/>
        <v>11.192</v>
      </c>
      <c r="M15" s="72">
        <f t="shared" si="1"/>
        <v>1</v>
      </c>
      <c r="N15" s="19">
        <f t="shared" si="2"/>
        <v>1</v>
      </c>
      <c r="O15" s="65" t="s">
        <v>59</v>
      </c>
      <c r="P15" s="38">
        <v>0</v>
      </c>
      <c r="Q15" s="38">
        <v>0</v>
      </c>
      <c r="R15" s="38">
        <v>0</v>
      </c>
      <c r="S15" s="18" t="str">
        <f t="shared" si="3"/>
        <v xml:space="preserve"> -</v>
      </c>
      <c r="T15" s="19" t="str">
        <f t="shared" si="4"/>
        <v xml:space="preserve"> -</v>
      </c>
    </row>
    <row r="16" spans="2:20" ht="30">
      <c r="B16" s="166"/>
      <c r="C16" s="174"/>
      <c r="D16" s="169"/>
      <c r="E16" s="34">
        <v>42736</v>
      </c>
      <c r="F16" s="34">
        <v>43100</v>
      </c>
      <c r="G16" s="10" t="s">
        <v>31</v>
      </c>
      <c r="H16" s="35">
        <v>200000</v>
      </c>
      <c r="I16" s="47">
        <f>+J16+('2016'!I16-'2016'!K16)</f>
        <v>20206</v>
      </c>
      <c r="J16" s="35">
        <v>50000</v>
      </c>
      <c r="K16" s="54">
        <v>75273</v>
      </c>
      <c r="L16" s="64">
        <f t="shared" si="0"/>
        <v>1.50546</v>
      </c>
      <c r="M16" s="75">
        <f t="shared" si="1"/>
        <v>1</v>
      </c>
      <c r="N16" s="39">
        <f t="shared" si="2"/>
        <v>1</v>
      </c>
      <c r="O16" s="67" t="s">
        <v>59</v>
      </c>
      <c r="P16" s="35">
        <v>0</v>
      </c>
      <c r="Q16" s="35">
        <v>0</v>
      </c>
      <c r="R16" s="35">
        <v>0</v>
      </c>
      <c r="S16" s="36" t="str">
        <f t="shared" si="3"/>
        <v xml:space="preserve"> -</v>
      </c>
      <c r="T16" s="39" t="str">
        <f t="shared" si="4"/>
        <v xml:space="preserve"> -</v>
      </c>
    </row>
    <row r="17" spans="2:20" ht="46" thickBot="1">
      <c r="B17" s="167"/>
      <c r="C17" s="175"/>
      <c r="D17" s="170"/>
      <c r="E17" s="40">
        <v>42736</v>
      </c>
      <c r="F17" s="40">
        <v>43100</v>
      </c>
      <c r="G17" s="41" t="s">
        <v>32</v>
      </c>
      <c r="H17" s="42">
        <v>200</v>
      </c>
      <c r="I17" s="42">
        <f>+J17+('2016'!I17-'2016'!K17)</f>
        <v>32</v>
      </c>
      <c r="J17" s="42">
        <v>50</v>
      </c>
      <c r="K17" s="55">
        <v>51</v>
      </c>
      <c r="L17" s="63">
        <f t="shared" si="0"/>
        <v>1.02</v>
      </c>
      <c r="M17" s="73">
        <f t="shared" si="1"/>
        <v>1</v>
      </c>
      <c r="N17" s="44">
        <f t="shared" si="2"/>
        <v>1</v>
      </c>
      <c r="O17" s="66" t="s">
        <v>59</v>
      </c>
      <c r="P17" s="42">
        <v>0</v>
      </c>
      <c r="Q17" s="42">
        <v>0</v>
      </c>
      <c r="R17" s="42">
        <v>0</v>
      </c>
      <c r="S17" s="43" t="str">
        <f t="shared" si="3"/>
        <v xml:space="preserve"> -</v>
      </c>
      <c r="T17" s="44" t="str">
        <f t="shared" si="4"/>
        <v xml:space="preserve"> -</v>
      </c>
    </row>
    <row r="18" spans="2:20" ht="21" customHeight="1" thickBot="1">
      <c r="M18" s="28">
        <f>+AVERAGE(M12:M13,M15:M17)</f>
        <v>1</v>
      </c>
      <c r="N18" s="29">
        <f>+AVERAGE(N12:N13,N15:N17)</f>
        <v>0.88400000000000001</v>
      </c>
      <c r="O18" s="30"/>
      <c r="P18" s="31">
        <f>+SUM(P12:P13,P15:P17)</f>
        <v>0</v>
      </c>
      <c r="Q18" s="32">
        <f>+SUM(Q12:Q13,Q15:Q17)</f>
        <v>0</v>
      </c>
      <c r="R18" s="32">
        <f>+SUM(R12:R13,R15:R17)</f>
        <v>0</v>
      </c>
      <c r="S18" s="33" t="str">
        <f t="shared" si="3"/>
        <v xml:space="preserve"> -</v>
      </c>
      <c r="T18" s="29" t="str">
        <f t="shared" si="4"/>
        <v xml:space="preserve"> -</v>
      </c>
    </row>
  </sheetData>
  <mergeCells count="24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B15:B17"/>
    <mergeCell ref="C15:C17"/>
    <mergeCell ref="D15:D17"/>
    <mergeCell ref="M10:M11"/>
    <mergeCell ref="N10:N11"/>
    <mergeCell ref="B12:B13"/>
    <mergeCell ref="C12:C13"/>
    <mergeCell ref="D12:D13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8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76" t="s">
        <v>16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</row>
    <row r="3" spans="2:20" ht="20" customHeight="1">
      <c r="B3" s="176" t="s">
        <v>19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</row>
    <row r="4" spans="2:20" ht="20" customHeight="1">
      <c r="B4" s="176" t="s">
        <v>27</v>
      </c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8">
        <v>43465</v>
      </c>
      <c r="D8" s="177" t="s">
        <v>3</v>
      </c>
      <c r="E8" s="178"/>
      <c r="F8" s="178"/>
      <c r="G8" s="178"/>
      <c r="H8" s="178"/>
      <c r="I8" s="178"/>
      <c r="J8" s="178"/>
      <c r="K8" s="179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80" t="s">
        <v>17</v>
      </c>
      <c r="C9" s="183" t="s">
        <v>18</v>
      </c>
      <c r="D9" s="185" t="s">
        <v>0</v>
      </c>
      <c r="E9" s="188" t="s">
        <v>4</v>
      </c>
      <c r="F9" s="188"/>
      <c r="G9" s="188" t="s">
        <v>5</v>
      </c>
      <c r="H9" s="188"/>
      <c r="I9" s="188"/>
      <c r="J9" s="188"/>
      <c r="K9" s="190"/>
      <c r="L9" s="5"/>
      <c r="M9" s="185" t="s">
        <v>6</v>
      </c>
      <c r="N9" s="190"/>
      <c r="O9" s="199" t="s">
        <v>24</v>
      </c>
      <c r="P9" s="200"/>
      <c r="Q9" s="200"/>
      <c r="R9" s="200"/>
      <c r="S9" s="200"/>
      <c r="T9" s="201"/>
    </row>
    <row r="10" spans="2:20" ht="17" customHeight="1">
      <c r="B10" s="181"/>
      <c r="C10" s="184"/>
      <c r="D10" s="186"/>
      <c r="E10" s="189"/>
      <c r="F10" s="189"/>
      <c r="G10" s="189" t="s">
        <v>7</v>
      </c>
      <c r="H10" s="161" t="s">
        <v>25</v>
      </c>
      <c r="I10" s="161" t="s">
        <v>26</v>
      </c>
      <c r="J10" s="193" t="s">
        <v>1</v>
      </c>
      <c r="K10" s="191" t="s">
        <v>8</v>
      </c>
      <c r="L10" s="6"/>
      <c r="M10" s="195" t="s">
        <v>9</v>
      </c>
      <c r="N10" s="197" t="s">
        <v>10</v>
      </c>
      <c r="O10" s="202"/>
      <c r="P10" s="203"/>
      <c r="Q10" s="203"/>
      <c r="R10" s="203"/>
      <c r="S10" s="203"/>
      <c r="T10" s="204"/>
    </row>
    <row r="11" spans="2:20" ht="37.5" customHeight="1" thickBot="1">
      <c r="B11" s="182"/>
      <c r="C11" s="184"/>
      <c r="D11" s="187"/>
      <c r="E11" s="21" t="s">
        <v>11</v>
      </c>
      <c r="F11" s="21" t="s">
        <v>12</v>
      </c>
      <c r="G11" s="161"/>
      <c r="H11" s="162"/>
      <c r="I11" s="162"/>
      <c r="J11" s="194"/>
      <c r="K11" s="192"/>
      <c r="L11" s="22"/>
      <c r="M11" s="196"/>
      <c r="N11" s="198"/>
      <c r="O11" s="23" t="s">
        <v>23</v>
      </c>
      <c r="P11" s="24" t="s">
        <v>20</v>
      </c>
      <c r="Q11" s="25" t="s">
        <v>21</v>
      </c>
      <c r="R11" s="26" t="s">
        <v>22</v>
      </c>
      <c r="S11" s="26" t="s">
        <v>14</v>
      </c>
      <c r="T11" s="27" t="s">
        <v>15</v>
      </c>
    </row>
    <row r="12" spans="2:20" ht="45">
      <c r="B12" s="163" t="s">
        <v>36</v>
      </c>
      <c r="C12" s="173" t="s">
        <v>37</v>
      </c>
      <c r="D12" s="171" t="s">
        <v>38</v>
      </c>
      <c r="E12" s="37">
        <v>43101</v>
      </c>
      <c r="F12" s="37">
        <v>43465</v>
      </c>
      <c r="G12" s="74" t="s">
        <v>28</v>
      </c>
      <c r="H12" s="38">
        <v>1</v>
      </c>
      <c r="I12" s="38">
        <f>+J12</f>
        <v>1</v>
      </c>
      <c r="J12" s="38">
        <v>1</v>
      </c>
      <c r="K12" s="76">
        <v>0.65</v>
      </c>
      <c r="L12" s="62">
        <f>+K12/J12</f>
        <v>0.65</v>
      </c>
      <c r="M12" s="72">
        <f>DAYS360(E12,$C$8)/DAYS360(E12,F12)</f>
        <v>1</v>
      </c>
      <c r="N12" s="19">
        <f>IF(J12=0," -",IF(L12&gt;100%,100%,L12))</f>
        <v>0.65</v>
      </c>
      <c r="O12" s="65" t="s">
        <v>59</v>
      </c>
      <c r="P12" s="38">
        <v>0</v>
      </c>
      <c r="Q12" s="38">
        <v>0</v>
      </c>
      <c r="R12" s="38">
        <v>0</v>
      </c>
      <c r="S12" s="18" t="str">
        <f>IF(P12=0," -",Q12/P12)</f>
        <v xml:space="preserve"> -</v>
      </c>
      <c r="T12" s="19" t="str">
        <f>IF(R12=0," -",IF(Q12=0,100%,R12/Q12))</f>
        <v xml:space="preserve"> -</v>
      </c>
    </row>
    <row r="13" spans="2:20" ht="46" thickBot="1">
      <c r="B13" s="164"/>
      <c r="C13" s="175"/>
      <c r="D13" s="172"/>
      <c r="E13" s="45">
        <v>43101</v>
      </c>
      <c r="F13" s="45">
        <v>43465</v>
      </c>
      <c r="G13" s="46" t="s">
        <v>29</v>
      </c>
      <c r="H13" s="47">
        <v>300</v>
      </c>
      <c r="I13" s="47">
        <f>+J13+('2017'!I13-'2017'!K13)</f>
        <v>150</v>
      </c>
      <c r="J13" s="47">
        <v>150</v>
      </c>
      <c r="K13" s="52">
        <v>30</v>
      </c>
      <c r="L13" s="63">
        <f t="shared" ref="L13:L17" si="0">+K13/J13</f>
        <v>0.2</v>
      </c>
      <c r="M13" s="73">
        <f t="shared" ref="M13:M17" si="1">DAYS360(E13,$C$8)/DAYS360(E13,F13)</f>
        <v>1</v>
      </c>
      <c r="N13" s="44">
        <f t="shared" ref="N13:N17" si="2">IF(J13=0," -",IF(L13&gt;100%,100%,L13))</f>
        <v>0.2</v>
      </c>
      <c r="O13" s="66" t="s">
        <v>59</v>
      </c>
      <c r="P13" s="42">
        <v>0</v>
      </c>
      <c r="Q13" s="42">
        <v>0</v>
      </c>
      <c r="R13" s="42">
        <v>0</v>
      </c>
      <c r="S13" s="43" t="str">
        <f t="shared" ref="S13:S18" si="3">IF(P13=0," -",Q13/P13)</f>
        <v xml:space="preserve"> -</v>
      </c>
      <c r="T13" s="44" t="str">
        <f t="shared" ref="T13:T18" si="4">IF(R13=0," -",IF(Q13=0,100%,R13/Q13))</f>
        <v xml:space="preserve"> -</v>
      </c>
    </row>
    <row r="14" spans="2:20" ht="13" customHeight="1" thickBot="1">
      <c r="B14" s="11"/>
      <c r="C14" s="12"/>
      <c r="D14" s="20"/>
      <c r="E14" s="13"/>
      <c r="F14" s="13"/>
      <c r="G14" s="12"/>
      <c r="H14" s="14"/>
      <c r="I14" s="14"/>
      <c r="J14" s="14"/>
      <c r="K14" s="14"/>
      <c r="L14" s="15"/>
      <c r="M14" s="16"/>
      <c r="N14" s="16"/>
      <c r="O14" s="12"/>
      <c r="P14" s="14"/>
      <c r="Q14" s="14"/>
      <c r="R14" s="14"/>
      <c r="S14" s="16"/>
      <c r="T14" s="17"/>
    </row>
    <row r="15" spans="2:20" ht="30">
      <c r="B15" s="165" t="s">
        <v>35</v>
      </c>
      <c r="C15" s="173" t="s">
        <v>34</v>
      </c>
      <c r="D15" s="205" t="s">
        <v>33</v>
      </c>
      <c r="E15" s="37">
        <v>43101</v>
      </c>
      <c r="F15" s="37">
        <v>43465</v>
      </c>
      <c r="G15" s="9" t="s">
        <v>30</v>
      </c>
      <c r="H15" s="38">
        <v>5000</v>
      </c>
      <c r="I15" s="68">
        <f>+J15+('2017'!I15-'2017'!K15)</f>
        <v>-10330</v>
      </c>
      <c r="J15" s="38">
        <v>1000</v>
      </c>
      <c r="K15" s="69">
        <v>17428.5</v>
      </c>
      <c r="L15" s="62">
        <f t="shared" si="0"/>
        <v>17.4285</v>
      </c>
      <c r="M15" s="59">
        <f t="shared" si="1"/>
        <v>1</v>
      </c>
      <c r="N15" s="56">
        <f t="shared" si="2"/>
        <v>1</v>
      </c>
      <c r="O15" s="65" t="s">
        <v>59</v>
      </c>
      <c r="P15" s="38">
        <v>0</v>
      </c>
      <c r="Q15" s="38">
        <v>0</v>
      </c>
      <c r="R15" s="38">
        <v>0</v>
      </c>
      <c r="S15" s="18" t="str">
        <f t="shared" si="3"/>
        <v xml:space="preserve"> -</v>
      </c>
      <c r="T15" s="19" t="str">
        <f t="shared" si="4"/>
        <v xml:space="preserve"> -</v>
      </c>
    </row>
    <row r="16" spans="2:20" ht="30">
      <c r="B16" s="166"/>
      <c r="C16" s="174"/>
      <c r="D16" s="206"/>
      <c r="E16" s="34">
        <v>43101</v>
      </c>
      <c r="F16" s="34">
        <v>43465</v>
      </c>
      <c r="G16" s="10" t="s">
        <v>31</v>
      </c>
      <c r="H16" s="35">
        <v>200000</v>
      </c>
      <c r="I16" s="47">
        <f>+J16+('2017'!I16-'2017'!K16)</f>
        <v>-5067</v>
      </c>
      <c r="J16" s="35">
        <v>50000</v>
      </c>
      <c r="K16" s="70">
        <v>64735</v>
      </c>
      <c r="L16" s="64">
        <f t="shared" si="0"/>
        <v>1.2947</v>
      </c>
      <c r="M16" s="60">
        <f t="shared" si="1"/>
        <v>1</v>
      </c>
      <c r="N16" s="57">
        <f t="shared" si="2"/>
        <v>1</v>
      </c>
      <c r="O16" s="67" t="s">
        <v>59</v>
      </c>
      <c r="P16" s="35">
        <v>0</v>
      </c>
      <c r="Q16" s="35">
        <v>0</v>
      </c>
      <c r="R16" s="35">
        <v>0</v>
      </c>
      <c r="S16" s="36" t="str">
        <f t="shared" si="3"/>
        <v xml:space="preserve"> -</v>
      </c>
      <c r="T16" s="39" t="str">
        <f t="shared" si="4"/>
        <v xml:space="preserve"> -</v>
      </c>
    </row>
    <row r="17" spans="2:20" ht="46" thickBot="1">
      <c r="B17" s="167"/>
      <c r="C17" s="175"/>
      <c r="D17" s="207"/>
      <c r="E17" s="40">
        <v>43101</v>
      </c>
      <c r="F17" s="40">
        <v>43465</v>
      </c>
      <c r="G17" s="41" t="s">
        <v>32</v>
      </c>
      <c r="H17" s="42">
        <v>200</v>
      </c>
      <c r="I17" s="42">
        <f>+J17+('2017'!I17-'2017'!K17)</f>
        <v>31</v>
      </c>
      <c r="J17" s="42">
        <v>50</v>
      </c>
      <c r="K17" s="71">
        <v>299</v>
      </c>
      <c r="L17" s="63">
        <f t="shared" si="0"/>
        <v>5.98</v>
      </c>
      <c r="M17" s="61">
        <f t="shared" si="1"/>
        <v>1</v>
      </c>
      <c r="N17" s="58">
        <f t="shared" si="2"/>
        <v>1</v>
      </c>
      <c r="O17" s="66" t="s">
        <v>59</v>
      </c>
      <c r="P17" s="42">
        <v>0</v>
      </c>
      <c r="Q17" s="42">
        <v>0</v>
      </c>
      <c r="R17" s="42">
        <v>0</v>
      </c>
      <c r="S17" s="43" t="str">
        <f t="shared" si="3"/>
        <v xml:space="preserve"> -</v>
      </c>
      <c r="T17" s="44" t="str">
        <f t="shared" si="4"/>
        <v xml:space="preserve"> -</v>
      </c>
    </row>
    <row r="18" spans="2:20" ht="21" customHeight="1" thickBot="1">
      <c r="M18" s="28">
        <f>+AVERAGE(M12:M13,M15:M17)</f>
        <v>1</v>
      </c>
      <c r="N18" s="29">
        <f>+AVERAGE(N12:N13,N15:N17)</f>
        <v>0.77</v>
      </c>
      <c r="O18" s="30"/>
      <c r="P18" s="31">
        <f>+SUM(P12:P13,P15:P17)</f>
        <v>0</v>
      </c>
      <c r="Q18" s="32">
        <f>+SUM(Q12:Q13,Q15:Q17)</f>
        <v>0</v>
      </c>
      <c r="R18" s="32">
        <f>+SUM(R12:R13,R15:R17)</f>
        <v>0</v>
      </c>
      <c r="S18" s="33" t="str">
        <f t="shared" si="3"/>
        <v xml:space="preserve"> -</v>
      </c>
      <c r="T18" s="29" t="str">
        <f t="shared" si="4"/>
        <v xml:space="preserve"> -</v>
      </c>
    </row>
  </sheetData>
  <mergeCells count="24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B15:B17"/>
    <mergeCell ref="C15:C17"/>
    <mergeCell ref="D15:D17"/>
    <mergeCell ref="M10:M11"/>
    <mergeCell ref="N10:N11"/>
    <mergeCell ref="B12:B13"/>
    <mergeCell ref="C12:C13"/>
    <mergeCell ref="D12:D13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8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76" t="s">
        <v>16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</row>
    <row r="3" spans="2:20" ht="20" customHeight="1">
      <c r="B3" s="176" t="s">
        <v>19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</row>
    <row r="4" spans="2:20" ht="20" customHeight="1">
      <c r="B4" s="176" t="s">
        <v>27</v>
      </c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8">
        <v>43646</v>
      </c>
      <c r="D8" s="177" t="s">
        <v>3</v>
      </c>
      <c r="E8" s="178"/>
      <c r="F8" s="178"/>
      <c r="G8" s="178"/>
      <c r="H8" s="178"/>
      <c r="I8" s="178"/>
      <c r="J8" s="178"/>
      <c r="K8" s="179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80" t="s">
        <v>17</v>
      </c>
      <c r="C9" s="183" t="s">
        <v>18</v>
      </c>
      <c r="D9" s="185" t="s">
        <v>0</v>
      </c>
      <c r="E9" s="188" t="s">
        <v>4</v>
      </c>
      <c r="F9" s="188"/>
      <c r="G9" s="188" t="s">
        <v>5</v>
      </c>
      <c r="H9" s="188"/>
      <c r="I9" s="188"/>
      <c r="J9" s="188"/>
      <c r="K9" s="190"/>
      <c r="L9" s="5"/>
      <c r="M9" s="185" t="s">
        <v>6</v>
      </c>
      <c r="N9" s="190"/>
      <c r="O9" s="199" t="s">
        <v>24</v>
      </c>
      <c r="P9" s="200"/>
      <c r="Q9" s="200"/>
      <c r="R9" s="200"/>
      <c r="S9" s="200"/>
      <c r="T9" s="201"/>
    </row>
    <row r="10" spans="2:20" ht="17" customHeight="1">
      <c r="B10" s="181"/>
      <c r="C10" s="184"/>
      <c r="D10" s="186"/>
      <c r="E10" s="189"/>
      <c r="F10" s="189"/>
      <c r="G10" s="189" t="s">
        <v>7</v>
      </c>
      <c r="H10" s="161" t="s">
        <v>25</v>
      </c>
      <c r="I10" s="161" t="s">
        <v>26</v>
      </c>
      <c r="J10" s="193" t="s">
        <v>1</v>
      </c>
      <c r="K10" s="191" t="s">
        <v>8</v>
      </c>
      <c r="L10" s="6"/>
      <c r="M10" s="195" t="s">
        <v>9</v>
      </c>
      <c r="N10" s="197" t="s">
        <v>10</v>
      </c>
      <c r="O10" s="202"/>
      <c r="P10" s="203"/>
      <c r="Q10" s="203"/>
      <c r="R10" s="203"/>
      <c r="S10" s="203"/>
      <c r="T10" s="204"/>
    </row>
    <row r="11" spans="2:20" ht="37.5" customHeight="1" thickBot="1">
      <c r="B11" s="182"/>
      <c r="C11" s="184"/>
      <c r="D11" s="187"/>
      <c r="E11" s="21" t="s">
        <v>11</v>
      </c>
      <c r="F11" s="21" t="s">
        <v>12</v>
      </c>
      <c r="G11" s="161"/>
      <c r="H11" s="162"/>
      <c r="I11" s="162"/>
      <c r="J11" s="194"/>
      <c r="K11" s="192"/>
      <c r="L11" s="22"/>
      <c r="M11" s="196"/>
      <c r="N11" s="198"/>
      <c r="O11" s="23" t="s">
        <v>23</v>
      </c>
      <c r="P11" s="24" t="s">
        <v>20</v>
      </c>
      <c r="Q11" s="25" t="s">
        <v>21</v>
      </c>
      <c r="R11" s="26" t="s">
        <v>22</v>
      </c>
      <c r="S11" s="26" t="s">
        <v>14</v>
      </c>
      <c r="T11" s="27" t="s">
        <v>15</v>
      </c>
    </row>
    <row r="12" spans="2:20" ht="45">
      <c r="B12" s="163" t="s">
        <v>36</v>
      </c>
      <c r="C12" s="173" t="s">
        <v>37</v>
      </c>
      <c r="D12" s="171" t="s">
        <v>38</v>
      </c>
      <c r="E12" s="37">
        <v>43466</v>
      </c>
      <c r="F12" s="37">
        <v>43830</v>
      </c>
      <c r="G12" s="74" t="s">
        <v>28</v>
      </c>
      <c r="H12" s="38">
        <v>1</v>
      </c>
      <c r="I12" s="38">
        <f>+J12</f>
        <v>1</v>
      </c>
      <c r="J12" s="38">
        <v>1</v>
      </c>
      <c r="K12" s="76">
        <v>0.66759999999999997</v>
      </c>
      <c r="L12" s="62">
        <f>+K12/J12</f>
        <v>0.66759999999999997</v>
      </c>
      <c r="M12" s="72">
        <f>DAYS360(E12,$C$8)/DAYS360(E12,F12)</f>
        <v>0.49722222222222223</v>
      </c>
      <c r="N12" s="19">
        <f>IF(J12=0," -",IF(L12&gt;100%,100%,L12))</f>
        <v>0.66759999999999997</v>
      </c>
      <c r="O12" s="65" t="s">
        <v>59</v>
      </c>
      <c r="P12" s="38">
        <v>0</v>
      </c>
      <c r="Q12" s="38">
        <v>0</v>
      </c>
      <c r="R12" s="38">
        <v>0</v>
      </c>
      <c r="S12" s="18" t="str">
        <f>IF(P12=0," -",Q12/P12)</f>
        <v xml:space="preserve"> -</v>
      </c>
      <c r="T12" s="19" t="str">
        <f>IF(R12=0," -",IF(Q12=0,100%,R12/Q12))</f>
        <v xml:space="preserve"> -</v>
      </c>
    </row>
    <row r="13" spans="2:20" ht="46" thickBot="1">
      <c r="B13" s="164"/>
      <c r="C13" s="175"/>
      <c r="D13" s="172"/>
      <c r="E13" s="45">
        <v>43466</v>
      </c>
      <c r="F13" s="45">
        <v>43830</v>
      </c>
      <c r="G13" s="46" t="s">
        <v>29</v>
      </c>
      <c r="H13" s="47">
        <v>300</v>
      </c>
      <c r="I13" s="47">
        <f>+J13+('2018'!I13-'2018'!K13)</f>
        <v>270</v>
      </c>
      <c r="J13" s="47">
        <v>150</v>
      </c>
      <c r="K13" s="52">
        <v>50</v>
      </c>
      <c r="L13" s="63">
        <f t="shared" ref="L13:L17" si="0">+K13/J13</f>
        <v>0.33333333333333331</v>
      </c>
      <c r="M13" s="73">
        <f t="shared" ref="M13:M17" si="1">DAYS360(E13,$C$8)/DAYS360(E13,F13)</f>
        <v>0.49722222222222223</v>
      </c>
      <c r="N13" s="44">
        <f t="shared" ref="N13:N17" si="2">IF(J13=0," -",IF(L13&gt;100%,100%,L13))</f>
        <v>0.33333333333333331</v>
      </c>
      <c r="O13" s="66" t="s">
        <v>59</v>
      </c>
      <c r="P13" s="42">
        <v>0</v>
      </c>
      <c r="Q13" s="42">
        <v>0</v>
      </c>
      <c r="R13" s="42">
        <v>0</v>
      </c>
      <c r="S13" s="43" t="str">
        <f t="shared" ref="S13:S18" si="3">IF(P13=0," -",Q13/P13)</f>
        <v xml:space="preserve"> -</v>
      </c>
      <c r="T13" s="44" t="str">
        <f t="shared" ref="T13:T18" si="4">IF(R13=0," -",IF(Q13=0,100%,R13/Q13))</f>
        <v xml:space="preserve"> -</v>
      </c>
    </row>
    <row r="14" spans="2:20" ht="13" customHeight="1" thickBot="1">
      <c r="B14" s="11"/>
      <c r="C14" s="12"/>
      <c r="D14" s="20"/>
      <c r="E14" s="13"/>
      <c r="F14" s="13"/>
      <c r="G14" s="12"/>
      <c r="H14" s="14"/>
      <c r="I14" s="14"/>
      <c r="J14" s="14"/>
      <c r="K14" s="14"/>
      <c r="L14" s="15"/>
      <c r="M14" s="16"/>
      <c r="N14" s="16"/>
      <c r="O14" s="12"/>
      <c r="P14" s="14"/>
      <c r="Q14" s="14"/>
      <c r="R14" s="14"/>
      <c r="S14" s="16"/>
      <c r="T14" s="17"/>
    </row>
    <row r="15" spans="2:20" ht="30">
      <c r="B15" s="165" t="s">
        <v>35</v>
      </c>
      <c r="C15" s="173" t="s">
        <v>34</v>
      </c>
      <c r="D15" s="205" t="s">
        <v>33</v>
      </c>
      <c r="E15" s="37">
        <v>43466</v>
      </c>
      <c r="F15" s="37">
        <v>43830</v>
      </c>
      <c r="G15" s="9" t="s">
        <v>30</v>
      </c>
      <c r="H15" s="38">
        <v>5000</v>
      </c>
      <c r="I15" s="68">
        <f>+J15+('2018'!I15-'2018'!K15)</f>
        <v>-26758.5</v>
      </c>
      <c r="J15" s="38">
        <v>1000</v>
      </c>
      <c r="K15" s="69">
        <v>2770.47</v>
      </c>
      <c r="L15" s="62">
        <f t="shared" si="0"/>
        <v>2.77047</v>
      </c>
      <c r="M15" s="59">
        <f t="shared" si="1"/>
        <v>0.49722222222222223</v>
      </c>
      <c r="N15" s="56">
        <f t="shared" si="2"/>
        <v>1</v>
      </c>
      <c r="O15" s="65" t="s">
        <v>59</v>
      </c>
      <c r="P15" s="38">
        <v>0</v>
      </c>
      <c r="Q15" s="38">
        <v>0</v>
      </c>
      <c r="R15" s="38">
        <v>0</v>
      </c>
      <c r="S15" s="18" t="str">
        <f t="shared" si="3"/>
        <v xml:space="preserve"> -</v>
      </c>
      <c r="T15" s="19" t="str">
        <f t="shared" si="4"/>
        <v xml:space="preserve"> -</v>
      </c>
    </row>
    <row r="16" spans="2:20" ht="30">
      <c r="B16" s="166"/>
      <c r="C16" s="174"/>
      <c r="D16" s="206"/>
      <c r="E16" s="34">
        <v>43466</v>
      </c>
      <c r="F16" s="34">
        <v>43830</v>
      </c>
      <c r="G16" s="10" t="s">
        <v>31</v>
      </c>
      <c r="H16" s="35">
        <v>200000</v>
      </c>
      <c r="I16" s="47">
        <f>+J16+('2018'!I16-'2018'!K16)</f>
        <v>-19802</v>
      </c>
      <c r="J16" s="35">
        <v>50000</v>
      </c>
      <c r="K16" s="70">
        <v>0</v>
      </c>
      <c r="L16" s="64">
        <f t="shared" si="0"/>
        <v>0</v>
      </c>
      <c r="M16" s="60">
        <f t="shared" si="1"/>
        <v>0.49722222222222223</v>
      </c>
      <c r="N16" s="57">
        <f t="shared" si="2"/>
        <v>0</v>
      </c>
      <c r="O16" s="67" t="s">
        <v>59</v>
      </c>
      <c r="P16" s="35">
        <v>0</v>
      </c>
      <c r="Q16" s="35">
        <v>0</v>
      </c>
      <c r="R16" s="35">
        <v>0</v>
      </c>
      <c r="S16" s="36" t="str">
        <f t="shared" si="3"/>
        <v xml:space="preserve"> -</v>
      </c>
      <c r="T16" s="39" t="str">
        <f t="shared" si="4"/>
        <v xml:space="preserve"> -</v>
      </c>
    </row>
    <row r="17" spans="2:20" ht="46" thickBot="1">
      <c r="B17" s="167"/>
      <c r="C17" s="175"/>
      <c r="D17" s="207"/>
      <c r="E17" s="40">
        <v>43466</v>
      </c>
      <c r="F17" s="40">
        <v>43830</v>
      </c>
      <c r="G17" s="41" t="s">
        <v>32</v>
      </c>
      <c r="H17" s="42">
        <v>200</v>
      </c>
      <c r="I17" s="42">
        <f>+J17+('2018'!I17-'2018'!K17)</f>
        <v>-218</v>
      </c>
      <c r="J17" s="42">
        <v>50</v>
      </c>
      <c r="K17" s="71">
        <v>199</v>
      </c>
      <c r="L17" s="63">
        <f t="shared" si="0"/>
        <v>3.98</v>
      </c>
      <c r="M17" s="61">
        <f t="shared" si="1"/>
        <v>0.49722222222222223</v>
      </c>
      <c r="N17" s="58">
        <f t="shared" si="2"/>
        <v>1</v>
      </c>
      <c r="O17" s="66" t="s">
        <v>59</v>
      </c>
      <c r="P17" s="42">
        <v>0</v>
      </c>
      <c r="Q17" s="42">
        <v>0</v>
      </c>
      <c r="R17" s="42">
        <v>0</v>
      </c>
      <c r="S17" s="43" t="str">
        <f t="shared" si="3"/>
        <v xml:space="preserve"> -</v>
      </c>
      <c r="T17" s="44" t="str">
        <f t="shared" si="4"/>
        <v xml:space="preserve"> -</v>
      </c>
    </row>
    <row r="18" spans="2:20" ht="21" customHeight="1" thickBot="1">
      <c r="M18" s="28">
        <f>+AVERAGE(M12:M13,M15:M17)</f>
        <v>0.49722222222222223</v>
      </c>
      <c r="N18" s="29">
        <f>+AVERAGE(N12:N13,N15:N17)</f>
        <v>0.60018666666666665</v>
      </c>
      <c r="O18" s="30"/>
      <c r="P18" s="31">
        <f>+SUM(P12:P13,P15:P17)</f>
        <v>0</v>
      </c>
      <c r="Q18" s="32">
        <f>+SUM(Q12:Q13,Q15:Q17)</f>
        <v>0</v>
      </c>
      <c r="R18" s="32">
        <f>+SUM(R12:R13,R15:R17)</f>
        <v>0</v>
      </c>
      <c r="S18" s="33" t="str">
        <f t="shared" si="3"/>
        <v xml:space="preserve"> -</v>
      </c>
      <c r="T18" s="29" t="str">
        <f t="shared" si="4"/>
        <v xml:space="preserve"> -</v>
      </c>
    </row>
  </sheetData>
  <mergeCells count="24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B15:B17"/>
    <mergeCell ref="C15:C17"/>
    <mergeCell ref="D15:D17"/>
    <mergeCell ref="M10:M11"/>
    <mergeCell ref="N10:N11"/>
    <mergeCell ref="B12:B13"/>
    <mergeCell ref="C12:C13"/>
    <mergeCell ref="D12:D13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8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4" width="9.5703125" style="1" customWidth="1"/>
    <col min="15" max="18" width="10.7109375" style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176" t="s">
        <v>16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</row>
    <row r="3" spans="2:25" ht="20" customHeight="1">
      <c r="B3" s="176" t="s">
        <v>19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</row>
    <row r="4" spans="2:25" ht="20" customHeight="1">
      <c r="B4" s="176" t="s">
        <v>27</v>
      </c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39</v>
      </c>
      <c r="C8" s="8">
        <f>+'2019'!C8</f>
        <v>43646</v>
      </c>
      <c r="D8" s="177" t="s">
        <v>3</v>
      </c>
      <c r="E8" s="178"/>
      <c r="F8" s="178"/>
      <c r="G8" s="178"/>
      <c r="H8" s="212"/>
      <c r="I8" s="212"/>
      <c r="J8" s="212"/>
      <c r="K8" s="212"/>
      <c r="L8" s="212"/>
      <c r="M8" s="212"/>
      <c r="N8" s="179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180" t="s">
        <v>17</v>
      </c>
      <c r="C9" s="183" t="s">
        <v>18</v>
      </c>
      <c r="D9" s="185" t="s">
        <v>0</v>
      </c>
      <c r="E9" s="188" t="s">
        <v>5</v>
      </c>
      <c r="F9" s="188"/>
      <c r="G9" s="188"/>
      <c r="H9" s="213"/>
      <c r="I9" s="213"/>
      <c r="J9" s="213"/>
      <c r="K9" s="213"/>
      <c r="L9" s="213"/>
      <c r="M9" s="213"/>
      <c r="N9" s="190"/>
      <c r="O9" s="214" t="s">
        <v>41</v>
      </c>
      <c r="P9" s="215"/>
      <c r="Q9" s="215"/>
      <c r="R9" s="215"/>
      <c r="S9" s="216"/>
      <c r="T9" s="199" t="s">
        <v>40</v>
      </c>
      <c r="U9" s="200"/>
      <c r="V9" s="200"/>
      <c r="W9" s="200"/>
      <c r="X9" s="200"/>
      <c r="Y9" s="201"/>
    </row>
    <row r="10" spans="2:25" ht="17" customHeight="1">
      <c r="B10" s="181"/>
      <c r="C10" s="184"/>
      <c r="D10" s="186"/>
      <c r="E10" s="189" t="s">
        <v>7</v>
      </c>
      <c r="F10" s="161" t="s">
        <v>25</v>
      </c>
      <c r="G10" s="77" t="s">
        <v>1</v>
      </c>
      <c r="H10" s="79" t="s">
        <v>1</v>
      </c>
      <c r="I10" s="100" t="s">
        <v>1</v>
      </c>
      <c r="J10" s="100" t="s">
        <v>1</v>
      </c>
      <c r="K10" s="102" t="s">
        <v>8</v>
      </c>
      <c r="L10" s="100" t="s">
        <v>8</v>
      </c>
      <c r="M10" s="100" t="s">
        <v>8</v>
      </c>
      <c r="N10" s="78" t="s">
        <v>8</v>
      </c>
      <c r="O10" s="217">
        <v>2016</v>
      </c>
      <c r="P10" s="221">
        <v>2017</v>
      </c>
      <c r="Q10" s="208">
        <v>2018</v>
      </c>
      <c r="R10" s="210">
        <v>2019</v>
      </c>
      <c r="S10" s="219" t="s">
        <v>39</v>
      </c>
      <c r="T10" s="202"/>
      <c r="U10" s="203"/>
      <c r="V10" s="203"/>
      <c r="W10" s="203"/>
      <c r="X10" s="203"/>
      <c r="Y10" s="204"/>
    </row>
    <row r="11" spans="2:25" ht="37.5" customHeight="1" thickBot="1">
      <c r="B11" s="182"/>
      <c r="C11" s="184"/>
      <c r="D11" s="187"/>
      <c r="E11" s="161"/>
      <c r="F11" s="162"/>
      <c r="G11" s="103">
        <v>2016</v>
      </c>
      <c r="H11" s="104">
        <v>2017</v>
      </c>
      <c r="I11" s="101">
        <v>2018</v>
      </c>
      <c r="J11" s="101">
        <v>2019</v>
      </c>
      <c r="K11" s="105">
        <v>2016</v>
      </c>
      <c r="L11" s="104">
        <v>2017</v>
      </c>
      <c r="M11" s="101">
        <v>2018</v>
      </c>
      <c r="N11" s="106">
        <v>2019</v>
      </c>
      <c r="O11" s="218"/>
      <c r="P11" s="222"/>
      <c r="Q11" s="209"/>
      <c r="R11" s="211"/>
      <c r="S11" s="220"/>
      <c r="T11" s="80" t="s">
        <v>23</v>
      </c>
      <c r="U11" s="110" t="s">
        <v>20</v>
      </c>
      <c r="V11" s="110" t="s">
        <v>21</v>
      </c>
      <c r="W11" s="110" t="s">
        <v>22</v>
      </c>
      <c r="X11" s="26" t="s">
        <v>14</v>
      </c>
      <c r="Y11" s="27" t="s">
        <v>15</v>
      </c>
    </row>
    <row r="12" spans="2:25" ht="45">
      <c r="B12" s="163" t="s">
        <v>36</v>
      </c>
      <c r="C12" s="173" t="s">
        <v>37</v>
      </c>
      <c r="D12" s="171" t="s">
        <v>38</v>
      </c>
      <c r="E12" s="74" t="s">
        <v>28</v>
      </c>
      <c r="F12" s="38">
        <v>1</v>
      </c>
      <c r="G12" s="38">
        <f>'2016'!J12</f>
        <v>1</v>
      </c>
      <c r="H12" s="51">
        <f>'2017'!J12</f>
        <v>1</v>
      </c>
      <c r="I12" s="51">
        <f>'2018'!J12</f>
        <v>1</v>
      </c>
      <c r="J12" s="51">
        <f>'2019'!J12</f>
        <v>1</v>
      </c>
      <c r="K12" s="111">
        <f>'2016'!K12</f>
        <v>0.85</v>
      </c>
      <c r="L12" s="76">
        <f>'2017'!K12</f>
        <v>0.53600000000000003</v>
      </c>
      <c r="M12" s="51">
        <f>'2018'!K12</f>
        <v>0.65</v>
      </c>
      <c r="N12" s="69">
        <f>'2019'!K12</f>
        <v>0.66759999999999997</v>
      </c>
      <c r="O12" s="81">
        <f>'2016'!N12</f>
        <v>0.85</v>
      </c>
      <c r="P12" s="86">
        <f>'2017'!N12</f>
        <v>0.53600000000000003</v>
      </c>
      <c r="Q12" s="90">
        <f>'2018'!N12</f>
        <v>0.65</v>
      </c>
      <c r="R12" s="86">
        <f>'2019'!N12</f>
        <v>0.66759999999999997</v>
      </c>
      <c r="S12" s="96">
        <v>0.67589999999999995</v>
      </c>
      <c r="T12" s="65" t="s">
        <v>59</v>
      </c>
      <c r="U12" s="50">
        <f>+'2016'!P12+'2017'!P12+'2018'!P12+'2019'!P12</f>
        <v>0</v>
      </c>
      <c r="V12" s="50">
        <f>+'2016'!Q12+'2017'!Q12+'2018'!Q12+'2019'!Q12</f>
        <v>0</v>
      </c>
      <c r="W12" s="50">
        <f>+'2016'!R12+'2017'!R12+'2018'!R12+'2019'!R12</f>
        <v>0</v>
      </c>
      <c r="X12" s="18" t="str">
        <f>IF(U12=0," -",V12/U12)</f>
        <v xml:space="preserve"> -</v>
      </c>
      <c r="Y12" s="19" t="str">
        <f>IF(W12=0," -",IF(V12=0,100%,W12/V12))</f>
        <v xml:space="preserve"> -</v>
      </c>
    </row>
    <row r="13" spans="2:25" ht="46" thickBot="1">
      <c r="B13" s="164"/>
      <c r="C13" s="175"/>
      <c r="D13" s="172"/>
      <c r="E13" s="46" t="s">
        <v>29</v>
      </c>
      <c r="F13" s="47">
        <v>300</v>
      </c>
      <c r="G13" s="47">
        <f>'2016'!J13</f>
        <v>0</v>
      </c>
      <c r="H13" s="52">
        <f>'2017'!J13</f>
        <v>0</v>
      </c>
      <c r="I13" s="52">
        <f>'2018'!J13</f>
        <v>150</v>
      </c>
      <c r="J13" s="52">
        <f>'2019'!J13</f>
        <v>150</v>
      </c>
      <c r="K13" s="108">
        <f>'2016'!K13</f>
        <v>0</v>
      </c>
      <c r="L13" s="55">
        <f>'2017'!K13</f>
        <v>0</v>
      </c>
      <c r="M13" s="55">
        <f>'2018'!K13</f>
        <v>30</v>
      </c>
      <c r="N13" s="71">
        <f>'2019'!K13</f>
        <v>50</v>
      </c>
      <c r="O13" s="82" t="str">
        <f>'2016'!N13</f>
        <v xml:space="preserve"> -</v>
      </c>
      <c r="P13" s="87" t="str">
        <f>'2017'!N13</f>
        <v xml:space="preserve"> -</v>
      </c>
      <c r="Q13" s="91">
        <f>'2018'!N13</f>
        <v>0.2</v>
      </c>
      <c r="R13" s="87">
        <f>'2019'!N13</f>
        <v>0.33333333333333331</v>
      </c>
      <c r="S13" s="97">
        <v>0.26666666666666666</v>
      </c>
      <c r="T13" s="66" t="s">
        <v>59</v>
      </c>
      <c r="U13" s="35">
        <f>+'2016'!P13+'2017'!P13+'2018'!P13+'2019'!P13</f>
        <v>0</v>
      </c>
      <c r="V13" s="35">
        <f>+'2016'!Q13+'2017'!Q13+'2018'!Q13+'2019'!Q13</f>
        <v>0</v>
      </c>
      <c r="W13" s="35">
        <f>+'2016'!R13+'2017'!R13+'2018'!R13+'2019'!R13</f>
        <v>0</v>
      </c>
      <c r="X13" s="43" t="str">
        <f t="shared" ref="X13:X18" si="0">IF(U13=0," -",V13/U13)</f>
        <v xml:space="preserve"> -</v>
      </c>
      <c r="Y13" s="44" t="str">
        <f t="shared" ref="Y13:Y18" si="1">IF(W13=0," -",IF(V13=0,100%,W13/V13))</f>
        <v xml:space="preserve"> -</v>
      </c>
    </row>
    <row r="14" spans="2:25" ht="13" customHeight="1" thickBot="1">
      <c r="B14" s="11"/>
      <c r="C14" s="12"/>
      <c r="D14" s="20"/>
      <c r="E14" s="12"/>
      <c r="F14" s="14"/>
      <c r="G14" s="14"/>
      <c r="H14" s="14"/>
      <c r="I14" s="14"/>
      <c r="J14" s="14"/>
      <c r="K14" s="14"/>
      <c r="L14" s="14"/>
      <c r="M14" s="14"/>
      <c r="N14" s="14"/>
      <c r="O14" s="16"/>
      <c r="P14" s="16"/>
      <c r="Q14" s="16"/>
      <c r="R14" s="16"/>
      <c r="S14" s="98"/>
      <c r="T14" s="12"/>
      <c r="U14" s="16"/>
      <c r="V14" s="98"/>
      <c r="W14" s="12"/>
      <c r="X14" s="16"/>
      <c r="Y14" s="17"/>
    </row>
    <row r="15" spans="2:25" ht="30">
      <c r="B15" s="165" t="s">
        <v>35</v>
      </c>
      <c r="C15" s="173" t="s">
        <v>34</v>
      </c>
      <c r="D15" s="205" t="s">
        <v>33</v>
      </c>
      <c r="E15" s="9" t="s">
        <v>30</v>
      </c>
      <c r="F15" s="38">
        <v>5000</v>
      </c>
      <c r="G15" s="38">
        <f>'2016'!J15</f>
        <v>2000</v>
      </c>
      <c r="H15" s="51">
        <f>'2017'!J15</f>
        <v>1000</v>
      </c>
      <c r="I15" s="51">
        <f>'2018'!J15</f>
        <v>1000</v>
      </c>
      <c r="J15" s="51">
        <f>'2019'!J15</f>
        <v>1000</v>
      </c>
      <c r="K15" s="107">
        <f>'2016'!K15</f>
        <v>3138</v>
      </c>
      <c r="L15" s="51">
        <f>'2017'!K15</f>
        <v>11192</v>
      </c>
      <c r="M15" s="51">
        <f>'2018'!K15</f>
        <v>17428.5</v>
      </c>
      <c r="N15" s="69">
        <f>'2019'!K15</f>
        <v>2770.47</v>
      </c>
      <c r="O15" s="83">
        <f>'2016'!N15</f>
        <v>1</v>
      </c>
      <c r="P15" s="88">
        <f>'2017'!N15</f>
        <v>1</v>
      </c>
      <c r="Q15" s="90">
        <f>'2018'!N15</f>
        <v>1</v>
      </c>
      <c r="R15" s="88">
        <f>'2019'!N15</f>
        <v>1</v>
      </c>
      <c r="S15" s="96">
        <v>1</v>
      </c>
      <c r="T15" s="65" t="s">
        <v>59</v>
      </c>
      <c r="U15" s="35">
        <f>+'2016'!P15+'2017'!P15+'2018'!P15+'2019'!P15</f>
        <v>0</v>
      </c>
      <c r="V15" s="35">
        <f>+'2016'!Q15+'2017'!Q15+'2018'!Q15+'2019'!Q15</f>
        <v>0</v>
      </c>
      <c r="W15" s="35">
        <f>+'2016'!R15+'2017'!R15+'2018'!R15+'2019'!R15</f>
        <v>0</v>
      </c>
      <c r="X15" s="18" t="str">
        <f t="shared" si="0"/>
        <v xml:space="preserve"> -</v>
      </c>
      <c r="Y15" s="19" t="str">
        <f t="shared" si="1"/>
        <v xml:space="preserve"> -</v>
      </c>
    </row>
    <row r="16" spans="2:25" ht="30">
      <c r="B16" s="166"/>
      <c r="C16" s="174"/>
      <c r="D16" s="206"/>
      <c r="E16" s="10" t="s">
        <v>31</v>
      </c>
      <c r="F16" s="35">
        <v>200000</v>
      </c>
      <c r="G16" s="35">
        <f>'2016'!J16</f>
        <v>50000</v>
      </c>
      <c r="H16" s="54">
        <f>'2017'!J16</f>
        <v>50000</v>
      </c>
      <c r="I16" s="54">
        <f>'2018'!J16</f>
        <v>50000</v>
      </c>
      <c r="J16" s="54">
        <f>'2019'!J16</f>
        <v>50000</v>
      </c>
      <c r="K16" s="109">
        <f>'2016'!K16</f>
        <v>79794</v>
      </c>
      <c r="L16" s="54">
        <f>'2017'!K16</f>
        <v>75273</v>
      </c>
      <c r="M16" s="54">
        <f>'2018'!K16</f>
        <v>64735</v>
      </c>
      <c r="N16" s="70">
        <f>'2019'!K16</f>
        <v>0</v>
      </c>
      <c r="O16" s="84">
        <f>'2016'!N16</f>
        <v>1</v>
      </c>
      <c r="P16" s="89">
        <f>'2017'!N16</f>
        <v>1</v>
      </c>
      <c r="Q16" s="92">
        <f>'2018'!N16</f>
        <v>1</v>
      </c>
      <c r="R16" s="89">
        <f>'2019'!N16</f>
        <v>0</v>
      </c>
      <c r="S16" s="99">
        <v>1</v>
      </c>
      <c r="T16" s="67" t="s">
        <v>59</v>
      </c>
      <c r="U16" s="35">
        <f>+'2016'!P16+'2017'!P16+'2018'!P16+'2019'!P16</f>
        <v>0</v>
      </c>
      <c r="V16" s="35">
        <f>+'2016'!Q16+'2017'!Q16+'2018'!Q16+'2019'!Q16</f>
        <v>0</v>
      </c>
      <c r="W16" s="35">
        <f>+'2016'!R16+'2017'!R16+'2018'!R16+'2019'!R16</f>
        <v>0</v>
      </c>
      <c r="X16" s="36" t="str">
        <f t="shared" si="0"/>
        <v xml:space="preserve"> -</v>
      </c>
      <c r="Y16" s="39" t="str">
        <f t="shared" si="1"/>
        <v xml:space="preserve"> -</v>
      </c>
    </row>
    <row r="17" spans="2:25" ht="46" thickBot="1">
      <c r="B17" s="167"/>
      <c r="C17" s="175"/>
      <c r="D17" s="207"/>
      <c r="E17" s="41" t="s">
        <v>32</v>
      </c>
      <c r="F17" s="42">
        <v>200</v>
      </c>
      <c r="G17" s="42">
        <f>'2016'!J17</f>
        <v>50</v>
      </c>
      <c r="H17" s="55">
        <f>'2017'!J17</f>
        <v>50</v>
      </c>
      <c r="I17" s="55">
        <f>'2018'!J17</f>
        <v>50</v>
      </c>
      <c r="J17" s="55">
        <f>'2019'!J17</f>
        <v>50</v>
      </c>
      <c r="K17" s="108">
        <f>'2016'!K17</f>
        <v>68</v>
      </c>
      <c r="L17" s="55">
        <f>'2017'!K17</f>
        <v>51</v>
      </c>
      <c r="M17" s="55">
        <f>'2018'!K17</f>
        <v>299</v>
      </c>
      <c r="N17" s="71">
        <f>'2019'!K17</f>
        <v>199</v>
      </c>
      <c r="O17" s="85">
        <f>'2016'!N17</f>
        <v>1</v>
      </c>
      <c r="P17" s="87">
        <f>'2017'!N17</f>
        <v>1</v>
      </c>
      <c r="Q17" s="91">
        <f>'2018'!N17</f>
        <v>1</v>
      </c>
      <c r="R17" s="87">
        <f>'2019'!N17</f>
        <v>1</v>
      </c>
      <c r="S17" s="97">
        <v>1</v>
      </c>
      <c r="T17" s="66" t="s">
        <v>59</v>
      </c>
      <c r="U17" s="42">
        <f>+'2016'!P17+'2017'!P17+'2018'!P17+'2019'!P17</f>
        <v>0</v>
      </c>
      <c r="V17" s="42">
        <f>+'2016'!Q17+'2017'!Q17+'2018'!Q17+'2019'!Q17</f>
        <v>0</v>
      </c>
      <c r="W17" s="42">
        <f>+'2016'!R17+'2017'!R17+'2018'!R17+'2019'!R17</f>
        <v>0</v>
      </c>
      <c r="X17" s="43" t="str">
        <f t="shared" si="0"/>
        <v xml:space="preserve"> -</v>
      </c>
      <c r="Y17" s="44" t="str">
        <f t="shared" si="1"/>
        <v xml:space="preserve"> -</v>
      </c>
    </row>
    <row r="18" spans="2:25" ht="21" customHeight="1" thickBot="1">
      <c r="O18" s="94">
        <f>+AVERAGE(O12:O13,O15:O17)</f>
        <v>0.96250000000000002</v>
      </c>
      <c r="P18" s="95">
        <f t="shared" ref="P18:S18" si="2">+AVERAGE(P12:P13,P15:P17)</f>
        <v>0.88400000000000001</v>
      </c>
      <c r="Q18" s="95">
        <f t="shared" si="2"/>
        <v>0.77</v>
      </c>
      <c r="R18" s="95">
        <f t="shared" si="2"/>
        <v>0.60018666666666665</v>
      </c>
      <c r="S18" s="93">
        <f t="shared" si="2"/>
        <v>0.78851333333333329</v>
      </c>
      <c r="T18" s="30"/>
      <c r="U18" s="31">
        <f>+SUM(U12:U13,U15:U17)</f>
        <v>0</v>
      </c>
      <c r="V18" s="32">
        <f>+SUM(V12:V13,V15:V17)</f>
        <v>0</v>
      </c>
      <c r="W18" s="32">
        <f>+SUM(W12:W13,W15:W17)</f>
        <v>0</v>
      </c>
      <c r="X18" s="33" t="str">
        <f t="shared" si="0"/>
        <v xml:space="preserve"> -</v>
      </c>
      <c r="Y18" s="29" t="str">
        <f t="shared" si="1"/>
        <v xml:space="preserve"> -</v>
      </c>
    </row>
  </sheetData>
  <mergeCells count="23"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T9:Y10"/>
    <mergeCell ref="E10:E11"/>
    <mergeCell ref="F10:F11"/>
    <mergeCell ref="O10:O11"/>
    <mergeCell ref="S10:S11"/>
    <mergeCell ref="P10:P11"/>
    <mergeCell ref="B15:B17"/>
    <mergeCell ref="C15:C17"/>
    <mergeCell ref="D15:D17"/>
    <mergeCell ref="Q10:Q11"/>
    <mergeCell ref="R10:R11"/>
    <mergeCell ref="B12:B13"/>
    <mergeCell ref="C12:C13"/>
    <mergeCell ref="D12:D13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7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237" t="s">
        <v>42</v>
      </c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9"/>
    </row>
    <row r="4" spans="2:15" ht="16" thickBot="1">
      <c r="C4" s="112"/>
      <c r="D4" s="112"/>
      <c r="E4" s="112"/>
      <c r="F4" s="112"/>
      <c r="G4" s="112"/>
      <c r="H4" s="112"/>
      <c r="I4" s="112"/>
    </row>
    <row r="5" spans="2:15" ht="19" customHeight="1">
      <c r="C5" s="112"/>
      <c r="D5" s="112"/>
      <c r="E5" s="240" t="s">
        <v>43</v>
      </c>
      <c r="F5" s="241"/>
      <c r="G5" s="241"/>
      <c r="H5" s="241"/>
      <c r="I5" s="244" t="s">
        <v>41</v>
      </c>
      <c r="J5" s="245"/>
      <c r="K5" s="248" t="s">
        <v>44</v>
      </c>
      <c r="L5" s="249"/>
      <c r="M5" s="249"/>
      <c r="N5" s="249"/>
      <c r="O5" s="250"/>
    </row>
    <row r="6" spans="2:15" ht="19" customHeight="1" thickBot="1">
      <c r="E6" s="242"/>
      <c r="F6" s="243"/>
      <c r="G6" s="243"/>
      <c r="H6" s="243"/>
      <c r="I6" s="246"/>
      <c r="J6" s="247"/>
      <c r="K6" s="251" t="s">
        <v>39</v>
      </c>
      <c r="L6" s="252"/>
      <c r="M6" s="252"/>
      <c r="N6" s="252"/>
      <c r="O6" s="253"/>
    </row>
    <row r="7" spans="2:15" ht="32" customHeight="1" thickBot="1">
      <c r="C7" s="231"/>
      <c r="D7" s="232"/>
      <c r="E7" s="113">
        <v>2016</v>
      </c>
      <c r="F7" s="114">
        <v>2017</v>
      </c>
      <c r="G7" s="114">
        <v>2018</v>
      </c>
      <c r="H7" s="114">
        <v>2019</v>
      </c>
      <c r="I7" s="233" t="s">
        <v>39</v>
      </c>
      <c r="J7" s="234"/>
      <c r="K7" s="115" t="s">
        <v>45</v>
      </c>
      <c r="L7" s="116" t="s">
        <v>46</v>
      </c>
      <c r="M7" s="116" t="s">
        <v>47</v>
      </c>
      <c r="N7" s="116" t="s">
        <v>48</v>
      </c>
      <c r="O7" s="117" t="s">
        <v>49</v>
      </c>
    </row>
    <row r="8" spans="2:15" ht="22" customHeight="1" thickBot="1">
      <c r="B8" s="118">
        <v>1</v>
      </c>
      <c r="C8" s="235" t="s">
        <v>50</v>
      </c>
      <c r="D8" s="236"/>
      <c r="E8" s="119">
        <f>+IF(SUM('2016 - 2019'!G12:G13)&gt;0,AVERAGE('2016 - 2019'!O12:O13)," -")</f>
        <v>0.85</v>
      </c>
      <c r="F8" s="119">
        <f>+IF(SUM('2016 - 2019'!H12:H13)&gt;0,AVERAGE('2016 - 2019'!P12:P13)," -")</f>
        <v>0.53600000000000003</v>
      </c>
      <c r="G8" s="119">
        <f>+IF(SUM('2016 - 2019'!I12:I13)&gt;0,AVERAGE('2016 - 2019'!Q12:Q13)," -")</f>
        <v>0.42500000000000004</v>
      </c>
      <c r="H8" s="119">
        <f>+IF(SUM('2016 - 2019'!J12:J13)&gt;0,AVERAGE('2016 - 2019'!R12:R13)," -")</f>
        <v>0.50046666666666662</v>
      </c>
      <c r="I8" s="120">
        <f>+AVERAGE('2016 - 2019'!S12:S13)</f>
        <v>0.47128333333333328</v>
      </c>
      <c r="J8" s="121">
        <f t="shared" ref="J8:J10" si="0">+I8</f>
        <v>0.47128333333333328</v>
      </c>
      <c r="K8" s="122">
        <f t="shared" ref="K8:M9" si="1">+K9</f>
        <v>0</v>
      </c>
      <c r="L8" s="123">
        <f t="shared" si="1"/>
        <v>0</v>
      </c>
      <c r="M8" s="123">
        <f t="shared" si="1"/>
        <v>0</v>
      </c>
      <c r="N8" s="124" t="str">
        <f t="shared" ref="N8:N10" si="2">IF(K8=0,"-",+L8/K8)</f>
        <v>-</v>
      </c>
      <c r="O8" s="125" t="str">
        <f>IF(M8=0," -",IF(L8=0,100%,M8/L8))</f>
        <v xml:space="preserve"> -</v>
      </c>
    </row>
    <row r="9" spans="2:15" ht="20" customHeight="1">
      <c r="B9" s="126" t="s">
        <v>51</v>
      </c>
      <c r="C9" s="225" t="s">
        <v>37</v>
      </c>
      <c r="D9" s="226"/>
      <c r="E9" s="134">
        <f>+IF(SUM('2016 - 2019'!G12:G13)&gt;0,AVERAGE('2016 - 2019'!O12:O13)," -")</f>
        <v>0.85</v>
      </c>
      <c r="F9" s="134">
        <f>+IF(SUM('2016 - 2019'!H12:H13)&gt;0,AVERAGE('2016 - 2019'!P12:P13)," -")</f>
        <v>0.53600000000000003</v>
      </c>
      <c r="G9" s="134">
        <f>+IF(SUM('2016 - 2019'!I12:I13)&gt;0,AVERAGE('2016 - 2019'!Q12:Q13)," -")</f>
        <v>0.42500000000000004</v>
      </c>
      <c r="H9" s="134">
        <f>+IF(SUM('2016 - 2019'!J12:J13)&gt;0,AVERAGE('2016 - 2019'!R12:R13)," -")</f>
        <v>0.50046666666666662</v>
      </c>
      <c r="I9" s="135">
        <f>+AVERAGE('2016 - 2019'!S12:S13)</f>
        <v>0.47128333333333328</v>
      </c>
      <c r="J9" s="136">
        <f t="shared" si="0"/>
        <v>0.47128333333333328</v>
      </c>
      <c r="K9" s="137">
        <f t="shared" si="1"/>
        <v>0</v>
      </c>
      <c r="L9" s="138">
        <f t="shared" si="1"/>
        <v>0</v>
      </c>
      <c r="M9" s="138">
        <f t="shared" si="1"/>
        <v>0</v>
      </c>
      <c r="N9" s="139" t="str">
        <f t="shared" si="2"/>
        <v>-</v>
      </c>
      <c r="O9" s="140" t="str">
        <f t="shared" ref="O9:O11" si="3">IF(M9=0," -",IF(L9=0,100%,M9/L9))</f>
        <v xml:space="preserve"> -</v>
      </c>
    </row>
    <row r="10" spans="2:15" ht="18" customHeight="1" thickBot="1">
      <c r="B10" s="127" t="s">
        <v>52</v>
      </c>
      <c r="C10" s="227" t="s">
        <v>53</v>
      </c>
      <c r="D10" s="228"/>
      <c r="E10" s="128">
        <f>+IF(SUM('2016 - 2019'!G12:G13)&gt;0,AVERAGE('2016 - 2019'!O12:O13)," -")</f>
        <v>0.85</v>
      </c>
      <c r="F10" s="128">
        <f>+IF(SUM('2016 - 2019'!H12:H13)&gt;0,AVERAGE('2016 - 2019'!P12:P13)," -")</f>
        <v>0.53600000000000003</v>
      </c>
      <c r="G10" s="128">
        <f>+IF(SUM('2016 - 2019'!I12:I13)&gt;0,AVERAGE('2016 - 2019'!Q12:Q13)," -")</f>
        <v>0.42500000000000004</v>
      </c>
      <c r="H10" s="128">
        <f>+IF(SUM('2016 - 2019'!J12:J13)&gt;0,AVERAGE('2016 - 2019'!R12:R13)," -")</f>
        <v>0.50046666666666662</v>
      </c>
      <c r="I10" s="129">
        <f>+AVERAGE('2016 - 2019'!S12:S13)</f>
        <v>0.47128333333333328</v>
      </c>
      <c r="J10" s="130">
        <f t="shared" si="0"/>
        <v>0.47128333333333328</v>
      </c>
      <c r="K10" s="131">
        <f>+SUM('2016 - 2019'!U12:U13)</f>
        <v>0</v>
      </c>
      <c r="L10" s="35">
        <f>+SUM('2016 - 2019'!V12:V13)</f>
        <v>0</v>
      </c>
      <c r="M10" s="35">
        <f>+SUM('2016 - 2019'!W12:W13)</f>
        <v>0</v>
      </c>
      <c r="N10" s="132" t="str">
        <f t="shared" si="2"/>
        <v>-</v>
      </c>
      <c r="O10" s="133" t="str">
        <f t="shared" si="3"/>
        <v xml:space="preserve"> -</v>
      </c>
    </row>
    <row r="11" spans="2:15" ht="22" customHeight="1" thickBot="1">
      <c r="B11" s="118">
        <v>4</v>
      </c>
      <c r="C11" s="223" t="s">
        <v>54</v>
      </c>
      <c r="D11" s="224"/>
      <c r="E11" s="141">
        <f>+IF(SUM('2016 - 2019'!G15:G17)&gt;0,AVERAGE('2016 - 2019'!O15:O17)," -")</f>
        <v>1</v>
      </c>
      <c r="F11" s="141">
        <f>+IF(SUM('2016 - 2019'!H15:H17)&gt;0,AVERAGE('2016 - 2019'!P15:P17)," -")</f>
        <v>1</v>
      </c>
      <c r="G11" s="141">
        <f>+IF(SUM('2016 - 2019'!I15:I17)&gt;0,AVERAGE('2016 - 2019'!Q15:Q17)," -")</f>
        <v>1</v>
      </c>
      <c r="H11" s="141">
        <f>+IF(SUM('2016 - 2019'!J15:J17)&gt;0,AVERAGE('2016 - 2019'!R15:R17)," -")</f>
        <v>0.66666666666666663</v>
      </c>
      <c r="I11" s="142">
        <f>+AVERAGE('2016 - 2019'!S15:S17)</f>
        <v>1</v>
      </c>
      <c r="J11" s="143">
        <f t="shared" ref="J11:J13" si="4">+I11</f>
        <v>1</v>
      </c>
      <c r="K11" s="144">
        <f t="shared" ref="K11:M12" si="5">+K12</f>
        <v>0</v>
      </c>
      <c r="L11" s="145">
        <f t="shared" si="5"/>
        <v>0</v>
      </c>
      <c r="M11" s="145">
        <f t="shared" si="5"/>
        <v>0</v>
      </c>
      <c r="N11" s="146" t="str">
        <f t="shared" ref="N11:N13" si="6">IF(K11=0,"-",+L11/K11)</f>
        <v>-</v>
      </c>
      <c r="O11" s="147" t="str">
        <f t="shared" si="3"/>
        <v xml:space="preserve"> -</v>
      </c>
    </row>
    <row r="12" spans="2:15" ht="20" customHeight="1">
      <c r="B12" s="126" t="s">
        <v>55</v>
      </c>
      <c r="C12" s="225" t="s">
        <v>34</v>
      </c>
      <c r="D12" s="226"/>
      <c r="E12" s="134">
        <f>+IF(SUM('2016 - 2019'!G15:G17)&gt;0,AVERAGE('2016 - 2019'!O15:O17)," -")</f>
        <v>1</v>
      </c>
      <c r="F12" s="134">
        <f>+IF(SUM('2016 - 2019'!H15:H17)&gt;0,AVERAGE('2016 - 2019'!P15:P17)," -")</f>
        <v>1</v>
      </c>
      <c r="G12" s="134">
        <f>+IF(SUM('2016 - 2019'!I15:I17)&gt;0,AVERAGE('2016 - 2019'!Q15:Q17)," -")</f>
        <v>1</v>
      </c>
      <c r="H12" s="134">
        <f>+IF(SUM('2016 - 2019'!J15:J17)&gt;0,AVERAGE('2016 - 2019'!R15:R17)," -")</f>
        <v>0.66666666666666663</v>
      </c>
      <c r="I12" s="135">
        <f>+AVERAGE('2016 - 2019'!S15:S17)</f>
        <v>1</v>
      </c>
      <c r="J12" s="136">
        <f t="shared" si="4"/>
        <v>1</v>
      </c>
      <c r="K12" s="137">
        <f t="shared" si="5"/>
        <v>0</v>
      </c>
      <c r="L12" s="138">
        <f t="shared" si="5"/>
        <v>0</v>
      </c>
      <c r="M12" s="138">
        <f t="shared" si="5"/>
        <v>0</v>
      </c>
      <c r="N12" s="139" t="str">
        <f t="shared" si="6"/>
        <v>-</v>
      </c>
      <c r="O12" s="140" t="str">
        <f t="shared" ref="O12:O14" si="7">IF(M12=0," -",IF(L12=0,100%,M12/L12))</f>
        <v xml:space="preserve"> -</v>
      </c>
    </row>
    <row r="13" spans="2:15" ht="18" customHeight="1" thickBot="1">
      <c r="B13" s="127" t="s">
        <v>56</v>
      </c>
      <c r="C13" s="227" t="s">
        <v>57</v>
      </c>
      <c r="D13" s="228"/>
      <c r="E13" s="128">
        <f>+IF(SUM('2016 - 2019'!G15:G17)&gt;0,AVERAGE('2016 - 2019'!O15:O17)," -")</f>
        <v>1</v>
      </c>
      <c r="F13" s="128">
        <f>+IF(SUM('2016 - 2019'!H15:H17)&gt;0,AVERAGE('2016 - 2019'!P15:P17)," -")</f>
        <v>1</v>
      </c>
      <c r="G13" s="128">
        <f>+IF(SUM('2016 - 2019'!I15:I17)&gt;0,AVERAGE('2016 - 2019'!Q15:Q17)," -")</f>
        <v>1</v>
      </c>
      <c r="H13" s="128">
        <f>+IF(SUM('2016 - 2019'!J15:J17)&gt;0,AVERAGE('2016 - 2019'!R15:R17)," -")</f>
        <v>0.66666666666666663</v>
      </c>
      <c r="I13" s="129">
        <f>+AVERAGE('2016 - 2019'!S15:S17)</f>
        <v>1</v>
      </c>
      <c r="J13" s="130">
        <f t="shared" si="4"/>
        <v>1</v>
      </c>
      <c r="K13" s="131">
        <f>+SUM('2016 - 2019'!U15:U17)</f>
        <v>0</v>
      </c>
      <c r="L13" s="35">
        <f>+SUM('2016 - 2019'!V15:V17)</f>
        <v>0</v>
      </c>
      <c r="M13" s="35">
        <f>+SUM('2016 - 2019'!W15:W17)</f>
        <v>0</v>
      </c>
      <c r="N13" s="132" t="str">
        <f t="shared" si="6"/>
        <v>-</v>
      </c>
      <c r="O13" s="133" t="str">
        <f t="shared" si="7"/>
        <v xml:space="preserve"> -</v>
      </c>
    </row>
    <row r="14" spans="2:15" ht="24" customHeight="1" thickBot="1">
      <c r="C14" s="229" t="s">
        <v>58</v>
      </c>
      <c r="D14" s="230"/>
      <c r="E14" s="148">
        <f>+'2016 - 2019'!O18</f>
        <v>0.96250000000000002</v>
      </c>
      <c r="F14" s="148">
        <f>+'2016 - 2019'!P18</f>
        <v>0.88400000000000001</v>
      </c>
      <c r="G14" s="148">
        <f>+'2016 - 2019'!Q18</f>
        <v>0.77</v>
      </c>
      <c r="H14" s="148">
        <f>+'2016 - 2019'!R18</f>
        <v>0.60018666666666665</v>
      </c>
      <c r="I14" s="149">
        <f>+'2016 - 2019'!S18</f>
        <v>0.78851333333333329</v>
      </c>
      <c r="J14" s="150">
        <f t="shared" ref="J14" si="8">+I14</f>
        <v>0.78851333333333329</v>
      </c>
      <c r="K14" s="151">
        <f>+K8+K11</f>
        <v>0</v>
      </c>
      <c r="L14" s="152">
        <f>+L8+L11</f>
        <v>0</v>
      </c>
      <c r="M14" s="152">
        <f>+M8+M11</f>
        <v>0</v>
      </c>
      <c r="N14" s="153" t="str">
        <f t="shared" ref="N14" si="9">IF(K14=0,"-",+L14/K14)</f>
        <v>-</v>
      </c>
      <c r="O14" s="154" t="str">
        <f t="shared" si="7"/>
        <v xml:space="preserve"> -</v>
      </c>
    </row>
    <row r="16" spans="2:15" ht="17">
      <c r="C16" s="155" t="str">
        <f>+'2016 - 2019'!C7</f>
        <v>FECHA CORTE</v>
      </c>
      <c r="D16" s="156"/>
      <c r="E16" s="157"/>
      <c r="F16" s="157"/>
      <c r="I16" s="160" t="s">
        <v>60</v>
      </c>
    </row>
    <row r="17" spans="3:3" ht="17">
      <c r="C17" s="158">
        <f>+'2016 - 2019'!C8</f>
        <v>43646</v>
      </c>
    </row>
  </sheetData>
  <mergeCells count="14">
    <mergeCell ref="I7:J7"/>
    <mergeCell ref="C8:D8"/>
    <mergeCell ref="C10:D10"/>
    <mergeCell ref="C9:D9"/>
    <mergeCell ref="C3:O3"/>
    <mergeCell ref="E5:H6"/>
    <mergeCell ref="I5:J6"/>
    <mergeCell ref="K5:O5"/>
    <mergeCell ref="K6:O6"/>
    <mergeCell ref="C11:D11"/>
    <mergeCell ref="C12:D12"/>
    <mergeCell ref="C13:D13"/>
    <mergeCell ref="C14:D14"/>
    <mergeCell ref="C7:D7"/>
  </mergeCells>
  <conditionalFormatting sqref="J1:J1048576">
    <cfRule type="iconSet" priority="2">
      <iconSet iconSet="4Arrows" showValue="0">
        <cfvo type="percent" val="0"/>
        <cfvo type="num" val="0.7"/>
        <cfvo type="num" val="0.75"/>
        <cfvo type="num" val="0.83" gte="0"/>
      </iconSet>
    </cfRule>
  </conditionalFormatting>
  <conditionalFormatting sqref="E8:H14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{2194595D-BCD9-184F-A987-454D42F76801}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194595D-BCD9-184F-A987-454D42F76801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E8:H14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2019-07-09T20:41:58Z</dcterms:modified>
</cp:coreProperties>
</file>