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14" i="11"/>
  <c r="W14" i="11"/>
  <c r="V15" i="11"/>
  <c r="W15" i="11"/>
  <c r="V12" i="11"/>
  <c r="W12" i="11"/>
  <c r="U15" i="11"/>
  <c r="U14" i="11"/>
  <c r="U12" i="11"/>
  <c r="L10" i="12"/>
  <c r="L9" i="12"/>
  <c r="L8" i="12"/>
  <c r="M10" i="12"/>
  <c r="M9" i="12"/>
  <c r="M8" i="12"/>
  <c r="L13" i="12"/>
  <c r="L11" i="12"/>
  <c r="M13" i="12"/>
  <c r="M11" i="12"/>
  <c r="L12" i="12"/>
  <c r="M12" i="12"/>
  <c r="K13" i="12"/>
  <c r="K11" i="12"/>
  <c r="K12" i="12"/>
  <c r="K10" i="12"/>
  <c r="K9" i="12"/>
  <c r="K8" i="12"/>
  <c r="S16" i="11"/>
  <c r="L12" i="10"/>
  <c r="N12" i="10"/>
  <c r="R12" i="11"/>
  <c r="L14" i="10"/>
  <c r="N14" i="10"/>
  <c r="R14" i="11"/>
  <c r="L15" i="10"/>
  <c r="N15" i="10"/>
  <c r="R15" i="11"/>
  <c r="R16" i="11"/>
  <c r="L12" i="9"/>
  <c r="N12" i="9"/>
  <c r="Q12" i="11"/>
  <c r="L14" i="9"/>
  <c r="N14" i="9"/>
  <c r="Q14" i="11"/>
  <c r="L15" i="9"/>
  <c r="N15" i="9"/>
  <c r="Q15" i="11"/>
  <c r="Q16" i="11"/>
  <c r="L12" i="8"/>
  <c r="N12" i="8"/>
  <c r="P12" i="11"/>
  <c r="L14" i="8"/>
  <c r="N14" i="8"/>
  <c r="P14" i="11"/>
  <c r="L15" i="8"/>
  <c r="N15" i="8"/>
  <c r="P15" i="11"/>
  <c r="P16" i="11"/>
  <c r="N12" i="7"/>
  <c r="O12" i="11"/>
  <c r="L14" i="7"/>
  <c r="N14" i="7"/>
  <c r="O14" i="11"/>
  <c r="N15" i="7"/>
  <c r="O15" i="11"/>
  <c r="O16" i="11"/>
  <c r="I13" i="12"/>
  <c r="I12" i="12"/>
  <c r="I11" i="12"/>
  <c r="I10" i="12"/>
  <c r="I9" i="12"/>
  <c r="I8" i="12"/>
  <c r="I14" i="12"/>
  <c r="G14" i="12"/>
  <c r="H14" i="12"/>
  <c r="F14" i="12"/>
  <c r="E14" i="12"/>
  <c r="H12" i="11"/>
  <c r="F8" i="12"/>
  <c r="I12" i="11"/>
  <c r="G8" i="12"/>
  <c r="J12" i="11"/>
  <c r="H8" i="12"/>
  <c r="F9" i="12"/>
  <c r="G9" i="12"/>
  <c r="H9" i="12"/>
  <c r="F10" i="12"/>
  <c r="G10" i="12"/>
  <c r="H10" i="12"/>
  <c r="H14" i="11"/>
  <c r="H15" i="11"/>
  <c r="F11" i="12"/>
  <c r="I14" i="11"/>
  <c r="I15" i="11"/>
  <c r="G11" i="12"/>
  <c r="J14" i="11"/>
  <c r="J15" i="11"/>
  <c r="H11" i="12"/>
  <c r="F12" i="12"/>
  <c r="G12" i="12"/>
  <c r="H12" i="12"/>
  <c r="F13" i="12"/>
  <c r="G13" i="12"/>
  <c r="H13" i="12"/>
  <c r="G14" i="11"/>
  <c r="G15" i="11"/>
  <c r="E13" i="12"/>
  <c r="E12" i="12"/>
  <c r="E11" i="12"/>
  <c r="G12" i="11"/>
  <c r="E10" i="12"/>
  <c r="E9" i="12"/>
  <c r="E8" i="12"/>
  <c r="C17" i="12"/>
  <c r="C16" i="12"/>
  <c r="M14" i="12"/>
  <c r="L14" i="12"/>
  <c r="K14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N14" i="11"/>
  <c r="N15" i="11"/>
  <c r="M12" i="11"/>
  <c r="M14" i="11"/>
  <c r="M15" i="11"/>
  <c r="L12" i="11"/>
  <c r="L14" i="11"/>
  <c r="L15" i="11"/>
  <c r="K12" i="11"/>
  <c r="K14" i="11"/>
  <c r="K15" i="11"/>
  <c r="W16" i="11"/>
  <c r="V16" i="11"/>
  <c r="Y16" i="11"/>
  <c r="U16" i="11"/>
  <c r="X16" i="11"/>
  <c r="Y15" i="11"/>
  <c r="X15" i="11"/>
  <c r="Y14" i="11"/>
  <c r="X14" i="11"/>
  <c r="Y12" i="11"/>
  <c r="X12" i="11"/>
  <c r="I15" i="8"/>
  <c r="I15" i="9"/>
  <c r="I15" i="10"/>
  <c r="I14" i="8"/>
  <c r="I14" i="9"/>
  <c r="I14" i="10"/>
  <c r="I12" i="10"/>
  <c r="I12" i="9"/>
  <c r="I12" i="8"/>
  <c r="R16" i="10"/>
  <c r="T16" i="10"/>
  <c r="P16" i="10"/>
  <c r="Q16" i="10"/>
  <c r="S16" i="10"/>
  <c r="N16" i="10"/>
  <c r="M12" i="10"/>
  <c r="M14" i="10"/>
  <c r="M15" i="10"/>
  <c r="M16" i="10"/>
  <c r="T15" i="10"/>
  <c r="S15" i="10"/>
  <c r="T14" i="10"/>
  <c r="S14" i="10"/>
  <c r="T12" i="10"/>
  <c r="S12" i="10"/>
  <c r="R16" i="9"/>
  <c r="T16" i="9"/>
  <c r="P16" i="9"/>
  <c r="Q16" i="9"/>
  <c r="S16" i="9"/>
  <c r="N16" i="9"/>
  <c r="M12" i="9"/>
  <c r="M14" i="9"/>
  <c r="M15" i="9"/>
  <c r="M16" i="9"/>
  <c r="T15" i="9"/>
  <c r="S15" i="9"/>
  <c r="T14" i="9"/>
  <c r="S14" i="9"/>
  <c r="T12" i="9"/>
  <c r="S12" i="9"/>
  <c r="R16" i="8"/>
  <c r="Q16" i="8"/>
  <c r="T16" i="8"/>
  <c r="P16" i="8"/>
  <c r="S16" i="8"/>
  <c r="N16" i="8"/>
  <c r="M12" i="8"/>
  <c r="M14" i="8"/>
  <c r="M15" i="8"/>
  <c r="M16" i="8"/>
  <c r="T15" i="8"/>
  <c r="S15" i="8"/>
  <c r="T14" i="8"/>
  <c r="S14" i="8"/>
  <c r="T12" i="8"/>
  <c r="S12" i="8"/>
  <c r="R16" i="7"/>
  <c r="Q16" i="7"/>
  <c r="P16" i="7"/>
  <c r="L15" i="7"/>
  <c r="L12" i="7"/>
  <c r="N16" i="7"/>
  <c r="M12" i="7"/>
  <c r="M14" i="7"/>
  <c r="M15" i="7"/>
  <c r="M16" i="7"/>
  <c r="T14" i="7"/>
  <c r="T15" i="7"/>
  <c r="S14" i="7"/>
  <c r="S15" i="7"/>
  <c r="T12" i="7"/>
  <c r="S12" i="7"/>
  <c r="T16" i="7"/>
  <c r="S16" i="7"/>
</calcChain>
</file>

<file path=xl/sharedStrings.xml><?xml version="1.0" encoding="utf-8"?>
<sst xmlns="http://schemas.openxmlformats.org/spreadsheetml/2006/main" count="220" uniqueCount="60">
  <si>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</si>
  <si>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</si>
  <si>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</si>
  <si>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</si>
  <si>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</si>
  <si>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</si>
  <si>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</si>
  <si>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</si>
  <si>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</si>
  <si>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</si>
  <si>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</si>
  <si>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</si>
  <si>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</si>
  <si>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</si>
  <si>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</si>
  <si>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</si>
  <si>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</si>
  <si>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</si>
  <si>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</si>
  <si>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</si>
  <si>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</si>
  <si>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</si>
  <si>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</si>
  <si>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</si>
  <si>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</si>
  <si>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</si>
  <si>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</si>
  <si>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Número de planes institucionales integrales formulados e implementados en Bomberos de Bucaramanga.</t>
  </si>
  <si>
    <t>Número de estaciones de bomberos fortalecidas en su capacidad operativa.</t>
  </si>
  <si>
    <t>Número de talleres realizados para la prevención del riesgo y del desastre.</t>
  </si>
  <si>
    <t>1 - GOBERNANZA DEMOCRÁTICA</t>
  </si>
  <si>
    <t>GOBIERNO LEGAL Y EFECTIVO</t>
  </si>
  <si>
    <t>ADMINISTRACIÓN ARTICULADA Y COHERENTE</t>
  </si>
  <si>
    <t>3 - SOSTENIBILIDAD AMBIENTAL</t>
  </si>
  <si>
    <t>GESTIÓN DEL RIESGO</t>
  </si>
  <si>
    <t>REDUCCIÓN Y MITIGACIÓN DEL RIESGO DE DESASTRE</t>
  </si>
  <si>
    <t>PLAN DE ACCIÓN - BOMBEROS</t>
  </si>
  <si>
    <t>2016 - 2019</t>
  </si>
  <si>
    <t>AVANCE EN CUMPLIMIENTO</t>
  </si>
  <si>
    <t>RECURSOS FINANCIEROS 2016 - 2017 (Miles de pesos)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</si>
  <si>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</si>
  <si>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</si>
  <si>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</si>
  <si>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</si>
  <si>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</si>
  <si>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</si>
  <si>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</si>
  <si>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</si>
  <si>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1.2</t>
  </si>
  <si>
    <t>1.2.3</t>
  </si>
  <si>
    <t>Administración Articulada y Coherente</t>
  </si>
  <si>
    <t>LÍNEA ESTRATÉGICA 3: SOSTENIBILIDAD AMBIENTAL</t>
  </si>
  <si>
    <t>3.2</t>
  </si>
  <si>
    <t>3.2.2</t>
  </si>
  <si>
    <t>Reducción y Mitigación del Riesgo de Desastre</t>
  </si>
  <si>
    <t>PLAN DE DESARROLLO 2016 - 2019</t>
  </si>
  <si>
    <t>RESUMEN CUMPLIMIENTO BOMBEROS 2016 - 2019</t>
  </si>
  <si>
    <t>22141 22151 22161</t>
  </si>
  <si>
    <t>221111 221211 22131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</si>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</sst>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3" x14ac:knownFonts="1">
    <font>
      <sz val="11"/>
      <color theme="1"/>
      <name val="Arial"/>
      <family val="2"/>
    </font>
    <font>
      <b/>
      <sz val="12"/>
      <color indexed="8"/>
      <name val="Arial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2"/>
      <color indexed="8"/>
      <name val="Arial"/>
      <family val="2"/>
    </font>
    <font>
      <sz val="14"/>
      <color theme="1"/>
      <name val="Arial"/>
    </font>
    <font>
      <b/>
      <sz val="18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8000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7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30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164" fontId="5" fillId="3" borderId="39" xfId="0" applyNumberFormat="1" applyFont="1" applyFill="1" applyBorder="1" applyAlignment="1">
      <alignment horizontal="center" vertical="center" wrapText="1"/>
    </xf>
    <xf numFmtId="3" fontId="5" fillId="3" borderId="39" xfId="0" applyNumberFormat="1" applyFont="1" applyFill="1" applyBorder="1" applyAlignment="1">
      <alignment horizontal="center" vertical="center" wrapText="1"/>
    </xf>
    <xf numFmtId="9" fontId="6" fillId="3" borderId="39" xfId="0" applyNumberFormat="1" applyFont="1" applyFill="1" applyBorder="1" applyAlignment="1">
      <alignment horizontal="center" vertical="center" wrapText="1"/>
    </xf>
    <xf numFmtId="9" fontId="5" fillId="3" borderId="39" xfId="0" applyNumberFormat="1" applyFont="1" applyFill="1" applyBorder="1" applyAlignment="1">
      <alignment horizontal="center" vertical="center" wrapText="1"/>
    </xf>
    <xf numFmtId="9" fontId="5" fillId="3" borderId="40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9" fontId="7" fillId="2" borderId="49" xfId="0" applyNumberFormat="1" applyFont="1" applyFill="1" applyBorder="1" applyAlignment="1">
      <alignment horizontal="center" vertical="center"/>
    </xf>
    <xf numFmtId="9" fontId="7" fillId="2" borderId="34" xfId="0" applyNumberFormat="1" applyFont="1" applyFill="1" applyBorder="1" applyAlignment="1">
      <alignment horizontal="center" vertical="center"/>
    </xf>
    <xf numFmtId="0" fontId="5" fillId="0" borderId="32" xfId="0" quotePrefix="1" applyFont="1" applyFill="1" applyBorder="1"/>
    <xf numFmtId="3" fontId="7" fillId="2" borderId="50" xfId="0" applyNumberFormat="1" applyFont="1" applyFill="1" applyBorder="1" applyAlignment="1">
      <alignment horizontal="center" vertical="center"/>
    </xf>
    <xf numFmtId="3" fontId="7" fillId="2" borderId="35" xfId="0" applyNumberFormat="1" applyFont="1" applyFill="1" applyBorder="1" applyAlignment="1">
      <alignment horizontal="center" vertical="center"/>
    </xf>
    <xf numFmtId="9" fontId="7" fillId="2" borderId="35" xfId="0" applyNumberFormat="1" applyFont="1" applyFill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3" fontId="5" fillId="0" borderId="43" xfId="0" applyNumberFormat="1" applyFont="1" applyBorder="1" applyAlignment="1">
      <alignment horizontal="center" vertical="center"/>
    </xf>
    <xf numFmtId="9" fontId="5" fillId="0" borderId="43" xfId="0" applyNumberFormat="1" applyFont="1" applyBorder="1" applyAlignment="1">
      <alignment horizontal="center" vertical="center"/>
    </xf>
    <xf numFmtId="9" fontId="5" fillId="0" borderId="41" xfId="0" applyNumberFormat="1" applyFont="1" applyBorder="1" applyAlignment="1">
      <alignment horizontal="center" vertical="center"/>
    </xf>
    <xf numFmtId="164" fontId="5" fillId="0" borderId="20" xfId="0" applyNumberFormat="1" applyFont="1" applyBorder="1" applyAlignment="1">
      <alignment horizontal="center" vertical="center"/>
    </xf>
    <xf numFmtId="3" fontId="5" fillId="0" borderId="20" xfId="0" applyNumberFormat="1" applyFont="1" applyBorder="1" applyAlignment="1">
      <alignment horizontal="center" vertical="center"/>
    </xf>
    <xf numFmtId="164" fontId="5" fillId="0" borderId="52" xfId="0" applyNumberFormat="1" applyFont="1" applyBorder="1" applyAlignment="1">
      <alignment horizontal="center" vertical="center"/>
    </xf>
    <xf numFmtId="0" fontId="3" fillId="0" borderId="52" xfId="0" applyFont="1" applyFill="1" applyBorder="1" applyAlignment="1">
      <alignment horizontal="justify" vertical="center" wrapText="1"/>
    </xf>
    <xf numFmtId="3" fontId="5" fillId="0" borderId="52" xfId="0" applyNumberFormat="1" applyFont="1" applyBorder="1" applyAlignment="1">
      <alignment horizontal="center" vertical="center"/>
    </xf>
    <xf numFmtId="3" fontId="5" fillId="0" borderId="22" xfId="0" applyNumberFormat="1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justify" vertical="center" wrapText="1"/>
    </xf>
    <xf numFmtId="9" fontId="6" fillId="0" borderId="51" xfId="0" applyNumberFormat="1" applyFont="1" applyBorder="1" applyAlignment="1">
      <alignment horizontal="center" vertical="center"/>
    </xf>
    <xf numFmtId="9" fontId="6" fillId="0" borderId="54" xfId="0" applyNumberFormat="1" applyFont="1" applyBorder="1" applyAlignment="1">
      <alignment horizontal="center" vertical="center"/>
    </xf>
    <xf numFmtId="9" fontId="6" fillId="0" borderId="55" xfId="0" applyNumberFormat="1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justify" vertical="center" wrapText="1"/>
    </xf>
    <xf numFmtId="9" fontId="5" fillId="0" borderId="4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9" fontId="10" fillId="2" borderId="43" xfId="0" applyNumberFormat="1" applyFont="1" applyFill="1" applyBorder="1" applyAlignment="1">
      <alignment horizontal="center" vertical="center"/>
    </xf>
    <xf numFmtId="9" fontId="10" fillId="2" borderId="42" xfId="0" applyNumberFormat="1" applyFont="1" applyFill="1" applyBorder="1" applyAlignment="1">
      <alignment horizontal="center" vertical="center"/>
    </xf>
    <xf numFmtId="9" fontId="7" fillId="2" borderId="41" xfId="0" applyNumberFormat="1" applyFont="1" applyFill="1" applyBorder="1" applyAlignment="1">
      <alignment horizontal="center" vertical="center"/>
    </xf>
    <xf numFmtId="9" fontId="5" fillId="4" borderId="2" xfId="0" applyNumberFormat="1" applyFont="1" applyFill="1" applyBorder="1" applyAlignment="1">
      <alignment horizontal="center" vertical="center"/>
    </xf>
    <xf numFmtId="9" fontId="5" fillId="4" borderId="15" xfId="0" applyNumberFormat="1" applyFont="1" applyFill="1" applyBorder="1" applyAlignment="1">
      <alignment horizontal="center" vertical="center"/>
    </xf>
    <xf numFmtId="9" fontId="5" fillId="4" borderId="3" xfId="0" applyNumberFormat="1" applyFont="1" applyFill="1" applyBorder="1" applyAlignment="1">
      <alignment horizontal="center" vertical="center"/>
    </xf>
    <xf numFmtId="9" fontId="5" fillId="4" borderId="6" xfId="0" applyNumberFormat="1" applyFont="1" applyFill="1" applyBorder="1" applyAlignment="1">
      <alignment horizontal="center" vertical="center"/>
    </xf>
    <xf numFmtId="9" fontId="5" fillId="4" borderId="56" xfId="0" applyNumberFormat="1" applyFont="1" applyFill="1" applyBorder="1" applyAlignment="1">
      <alignment horizontal="center" vertical="center"/>
    </xf>
    <xf numFmtId="9" fontId="5" fillId="4" borderId="7" xfId="0" applyNumberFormat="1" applyFont="1" applyFill="1" applyBorder="1" applyAlignment="1">
      <alignment horizontal="center" vertical="center"/>
    </xf>
    <xf numFmtId="9" fontId="5" fillId="4" borderId="42" xfId="0" applyNumberFormat="1" applyFont="1" applyFill="1" applyBorder="1" applyAlignment="1">
      <alignment horizontal="center" vertical="center"/>
    </xf>
    <xf numFmtId="9" fontId="5" fillId="4" borderId="39" xfId="0" applyNumberFormat="1" applyFont="1" applyFill="1" applyBorder="1" applyAlignment="1">
      <alignment horizontal="center" vertical="center"/>
    </xf>
    <xf numFmtId="9" fontId="5" fillId="4" borderId="43" xfId="0" applyNumberFormat="1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/>
    </xf>
    <xf numFmtId="3" fontId="5" fillId="0" borderId="38" xfId="0" applyNumberFormat="1" applyFont="1" applyBorder="1" applyAlignment="1">
      <alignment horizontal="center" vertical="center"/>
    </xf>
    <xf numFmtId="3" fontId="5" fillId="0" borderId="59" xfId="0" applyNumberFormat="1" applyFont="1" applyBorder="1" applyAlignment="1">
      <alignment horizontal="center" vertical="center"/>
    </xf>
    <xf numFmtId="3" fontId="5" fillId="0" borderId="41" xfId="0" applyNumberFormat="1" applyFont="1" applyBorder="1" applyAlignment="1">
      <alignment horizontal="center" vertical="center"/>
    </xf>
    <xf numFmtId="3" fontId="5" fillId="0" borderId="29" xfId="0" applyNumberFormat="1" applyFont="1" applyBorder="1" applyAlignment="1">
      <alignment horizontal="center" vertical="center"/>
    </xf>
    <xf numFmtId="3" fontId="5" fillId="0" borderId="57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31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9" fontId="7" fillId="4" borderId="41" xfId="0" applyNumberFormat="1" applyFont="1" applyFill="1" applyBorder="1" applyAlignment="1">
      <alignment horizontal="center" vertical="center"/>
    </xf>
    <xf numFmtId="9" fontId="7" fillId="3" borderId="39" xfId="0" applyNumberFormat="1" applyFont="1" applyFill="1" applyBorder="1" applyAlignment="1">
      <alignment horizontal="center" vertical="center" wrapText="1"/>
    </xf>
    <xf numFmtId="9" fontId="7" fillId="4" borderId="8" xfId="0" applyNumberFormat="1" applyFont="1" applyFill="1" applyBorder="1" applyAlignment="1">
      <alignment horizontal="center" vertical="center"/>
    </xf>
    <xf numFmtId="9" fontId="7" fillId="4" borderId="1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9" fontId="13" fillId="6" borderId="43" xfId="0" applyNumberFormat="1" applyFont="1" applyFill="1" applyBorder="1" applyAlignment="1">
      <alignment horizontal="center" vertical="center"/>
    </xf>
    <xf numFmtId="9" fontId="14" fillId="6" borderId="38" xfId="0" applyNumberFormat="1" applyFont="1" applyFill="1" applyBorder="1" applyAlignment="1">
      <alignment horizontal="center" vertical="center"/>
    </xf>
    <xf numFmtId="9" fontId="15" fillId="6" borderId="39" xfId="0" applyNumberFormat="1" applyFont="1" applyFill="1" applyBorder="1" applyAlignment="1">
      <alignment horizontal="center" vertical="center"/>
    </xf>
    <xf numFmtId="3" fontId="13" fillId="6" borderId="42" xfId="0" applyNumberFormat="1" applyFont="1" applyFill="1" applyBorder="1" applyAlignment="1">
      <alignment horizontal="center" vertical="center"/>
    </xf>
    <xf numFmtId="3" fontId="13" fillId="6" borderId="43" xfId="0" applyNumberFormat="1" applyFont="1" applyFill="1" applyBorder="1" applyAlignment="1">
      <alignment horizontal="center" vertical="center"/>
    </xf>
    <xf numFmtId="9" fontId="16" fillId="6" borderId="59" xfId="0" applyNumberFormat="1" applyFont="1" applyFill="1" applyBorder="1" applyAlignment="1" applyProtection="1">
      <alignment horizontal="center" vertical="center"/>
    </xf>
    <xf numFmtId="9" fontId="16" fillId="6" borderId="41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 wrapText="1"/>
    </xf>
    <xf numFmtId="9" fontId="21" fillId="0" borderId="30" xfId="0" applyNumberFormat="1" applyFont="1" applyBorder="1" applyAlignment="1">
      <alignment horizontal="center" vertical="center" wrapText="1"/>
    </xf>
    <xf numFmtId="9" fontId="19" fillId="0" borderId="68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9" fontId="20" fillId="0" borderId="67" xfId="0" applyNumberFormat="1" applyFont="1" applyBorder="1" applyAlignment="1" applyProtection="1">
      <alignment horizontal="center" vertical="center"/>
    </xf>
    <xf numFmtId="9" fontId="20" fillId="0" borderId="9" xfId="0" applyNumberFormat="1" applyFont="1" applyBorder="1" applyAlignment="1" applyProtection="1">
      <alignment horizontal="center" vertical="center"/>
    </xf>
    <xf numFmtId="9" fontId="17" fillId="7" borderId="5" xfId="0" applyNumberFormat="1" applyFont="1" applyFill="1" applyBorder="1" applyAlignment="1">
      <alignment horizontal="center" vertical="center" wrapText="1"/>
    </xf>
    <xf numFmtId="9" fontId="18" fillId="7" borderId="30" xfId="0" applyNumberFormat="1" applyFont="1" applyFill="1" applyBorder="1" applyAlignment="1">
      <alignment horizontal="center" vertical="center" wrapText="1"/>
    </xf>
    <xf numFmtId="9" fontId="19" fillId="7" borderId="68" xfId="0" applyNumberFormat="1" applyFont="1" applyFill="1" applyBorder="1" applyAlignment="1">
      <alignment horizontal="center" vertical="center" wrapText="1"/>
    </xf>
    <xf numFmtId="3" fontId="5" fillId="7" borderId="4" xfId="0" applyNumberFormat="1" applyFont="1" applyFill="1" applyBorder="1" applyAlignment="1">
      <alignment horizontal="center" vertical="center"/>
    </xf>
    <xf numFmtId="3" fontId="5" fillId="7" borderId="5" xfId="0" applyNumberFormat="1" applyFont="1" applyFill="1" applyBorder="1" applyAlignment="1">
      <alignment horizontal="center" vertical="center"/>
    </xf>
    <xf numFmtId="9" fontId="20" fillId="7" borderId="67" xfId="0" applyNumberFormat="1" applyFont="1" applyFill="1" applyBorder="1" applyAlignment="1" applyProtection="1">
      <alignment horizontal="center" vertical="center"/>
    </xf>
    <xf numFmtId="9" fontId="20" fillId="7" borderId="9" xfId="0" applyNumberFormat="1" applyFont="1" applyFill="1" applyBorder="1" applyAlignment="1" applyProtection="1">
      <alignment horizontal="center" vertical="center"/>
    </xf>
    <xf numFmtId="9" fontId="13" fillId="8" borderId="43" xfId="0" applyNumberFormat="1" applyFont="1" applyFill="1" applyBorder="1" applyAlignment="1">
      <alignment horizontal="center" vertical="center" wrapText="1"/>
    </xf>
    <xf numFmtId="9" fontId="14" fillId="8" borderId="38" xfId="0" applyNumberFormat="1" applyFont="1" applyFill="1" applyBorder="1" applyAlignment="1">
      <alignment horizontal="center" vertical="center" wrapText="1"/>
    </xf>
    <xf numFmtId="9" fontId="15" fillId="8" borderId="39" xfId="0" applyNumberFormat="1" applyFont="1" applyFill="1" applyBorder="1" applyAlignment="1">
      <alignment horizontal="center" vertical="center" wrapText="1"/>
    </xf>
    <xf numFmtId="3" fontId="13" fillId="8" borderId="42" xfId="0" applyNumberFormat="1" applyFont="1" applyFill="1" applyBorder="1" applyAlignment="1">
      <alignment horizontal="center" vertical="center"/>
    </xf>
    <xf numFmtId="3" fontId="13" fillId="8" borderId="43" xfId="0" applyNumberFormat="1" applyFont="1" applyFill="1" applyBorder="1" applyAlignment="1">
      <alignment horizontal="center" vertical="center"/>
    </xf>
    <xf numFmtId="9" fontId="13" fillId="8" borderId="59" xfId="0" applyNumberFormat="1" applyFont="1" applyFill="1" applyBorder="1" applyAlignment="1" applyProtection="1">
      <alignment horizontal="center" vertical="center"/>
    </xf>
    <xf numFmtId="9" fontId="13" fillId="8" borderId="41" xfId="0" applyNumberFormat="1" applyFont="1" applyFill="1" applyBorder="1" applyAlignment="1" applyProtection="1">
      <alignment horizontal="center" vertical="center"/>
    </xf>
    <xf numFmtId="9" fontId="7" fillId="2" borderId="43" xfId="0" applyNumberFormat="1" applyFont="1" applyFill="1" applyBorder="1" applyAlignment="1">
      <alignment horizontal="center" vertical="center" wrapText="1"/>
    </xf>
    <xf numFmtId="9" fontId="7" fillId="2" borderId="38" xfId="0" applyNumberFormat="1" applyFont="1" applyFill="1" applyBorder="1" applyAlignment="1">
      <alignment horizontal="center" vertical="center" wrapText="1"/>
    </xf>
    <xf numFmtId="9" fontId="22" fillId="2" borderId="39" xfId="0" applyNumberFormat="1" applyFont="1" applyFill="1" applyBorder="1" applyAlignment="1">
      <alignment horizontal="center" vertical="center" wrapText="1"/>
    </xf>
    <xf numFmtId="3" fontId="7" fillId="2" borderId="42" xfId="0" applyNumberFormat="1" applyFont="1" applyFill="1" applyBorder="1" applyAlignment="1">
      <alignment horizontal="center" vertical="center"/>
    </xf>
    <xf numFmtId="3" fontId="7" fillId="2" borderId="43" xfId="0" applyNumberFormat="1" applyFont="1" applyFill="1" applyBorder="1" applyAlignment="1">
      <alignment horizontal="center" vertical="center"/>
    </xf>
    <xf numFmtId="9" fontId="4" fillId="2" borderId="43" xfId="0" applyNumberFormat="1" applyFont="1" applyFill="1" applyBorder="1" applyAlignment="1" applyProtection="1">
      <alignment horizontal="center" vertical="center"/>
    </xf>
    <xf numFmtId="9" fontId="4" fillId="2" borderId="41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0" fontId="21" fillId="0" borderId="0" xfId="0" applyFont="1"/>
    <xf numFmtId="0" fontId="7" fillId="0" borderId="0" xfId="0" applyFont="1" applyAlignment="1">
      <alignment vertical="center"/>
    </xf>
    <xf numFmtId="164" fontId="21" fillId="0" borderId="0" xfId="0" applyNumberFormat="1" applyFont="1" applyAlignment="1">
      <alignment horizontal="left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28" xfId="0" applyFont="1" applyFill="1" applyBorder="1" applyAlignment="1" applyProtection="1">
      <alignment horizontal="center" vertical="center" wrapText="1"/>
      <protection locked="0"/>
    </xf>
    <xf numFmtId="3" fontId="5" fillId="0" borderId="6" xfId="0" applyNumberFormat="1" applyFont="1" applyBorder="1" applyAlignment="1">
      <alignment horizontal="center" vertical="center"/>
    </xf>
    <xf numFmtId="165" fontId="5" fillId="0" borderId="22" xfId="0" applyNumberFormat="1" applyFont="1" applyBorder="1" applyAlignment="1">
      <alignment horizontal="center" vertical="center"/>
    </xf>
    <xf numFmtId="0" fontId="14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61" xfId="0" applyFont="1" applyFill="1" applyBorder="1" applyAlignment="1">
      <alignment horizontal="center" vertical="center" wrapText="1"/>
    </xf>
    <xf numFmtId="0" fontId="2" fillId="4" borderId="47" xfId="0" applyFont="1" applyFill="1" applyBorder="1" applyAlignment="1">
      <alignment horizontal="center" vertical="center" wrapText="1"/>
    </xf>
    <xf numFmtId="0" fontId="2" fillId="4" borderId="6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center" vertical="center" wrapText="1"/>
    </xf>
    <xf numFmtId="0" fontId="2" fillId="4" borderId="48" xfId="0" applyFont="1" applyFill="1" applyBorder="1" applyAlignment="1">
      <alignment horizontal="center" vertical="center" wrapText="1"/>
    </xf>
    <xf numFmtId="0" fontId="2" fillId="4" borderId="6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3" fillId="6" borderId="38" xfId="0" applyFont="1" applyFill="1" applyBorder="1" applyAlignment="1">
      <alignment horizontal="justify" vertical="center"/>
    </xf>
    <xf numFmtId="0" fontId="13" fillId="6" borderId="65" xfId="0" applyFont="1" applyFill="1" applyBorder="1" applyAlignment="1">
      <alignment horizontal="justify" vertical="center"/>
    </xf>
    <xf numFmtId="0" fontId="17" fillId="7" borderId="30" xfId="0" applyFont="1" applyFill="1" applyBorder="1" applyAlignment="1">
      <alignment horizontal="justify" vertical="center"/>
    </xf>
    <xf numFmtId="0" fontId="17" fillId="7" borderId="66" xfId="0" applyFont="1" applyFill="1" applyBorder="1" applyAlignment="1">
      <alignment horizontal="justify" vertical="center"/>
    </xf>
    <xf numFmtId="0" fontId="5" fillId="0" borderId="30" xfId="0" applyFont="1" applyBorder="1" applyAlignment="1">
      <alignment horizontal="justify" vertical="center"/>
    </xf>
    <xf numFmtId="0" fontId="5" fillId="0" borderId="66" xfId="0" applyFont="1" applyBorder="1" applyAlignment="1">
      <alignment horizontal="justify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2" fillId="5" borderId="36" xfId="0" applyFont="1" applyFill="1" applyBorder="1" applyAlignment="1" applyProtection="1">
      <alignment horizontal="center" vertical="center" wrapText="1"/>
      <protection locked="0"/>
    </xf>
    <xf numFmtId="0" fontId="2" fillId="5" borderId="23" xfId="0" applyFont="1" applyFill="1" applyBorder="1" applyAlignment="1" applyProtection="1">
      <alignment horizontal="center" vertical="center" wrapText="1"/>
      <protection locked="0"/>
    </xf>
    <xf numFmtId="0" fontId="2" fillId="5" borderId="49" xfId="0" applyFont="1" applyFill="1" applyBorder="1" applyAlignment="1" applyProtection="1">
      <alignment horizontal="center" vertical="center" wrapText="1"/>
      <protection locked="0"/>
    </xf>
    <xf numFmtId="0" fontId="2" fillId="5" borderId="64" xfId="0" applyFont="1" applyFill="1" applyBorder="1" applyAlignment="1" applyProtection="1">
      <alignment horizontal="center" vertical="center" wrapText="1"/>
      <protection locked="0"/>
    </xf>
    <xf numFmtId="0" fontId="1" fillId="5" borderId="36" xfId="0" applyFont="1" applyFill="1" applyBorder="1" applyAlignment="1" applyProtection="1">
      <alignment horizontal="center" vertical="center" wrapText="1"/>
      <protection locked="0"/>
    </xf>
    <xf numFmtId="0" fontId="1" fillId="5" borderId="12" xfId="0" applyFont="1" applyFill="1" applyBorder="1" applyAlignment="1" applyProtection="1">
      <alignment horizontal="center" vertical="center" wrapText="1"/>
      <protection locked="0"/>
    </xf>
    <xf numFmtId="0" fontId="1" fillId="5" borderId="49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  <xf numFmtId="0" fontId="1" fillId="0" borderId="6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3" fillId="8" borderId="38" xfId="0" applyFont="1" applyFill="1" applyBorder="1" applyAlignment="1">
      <alignment horizontal="justify" vertical="center"/>
    </xf>
    <xf numFmtId="0" fontId="13" fillId="8" borderId="65" xfId="0" applyFont="1" applyFill="1" applyBorder="1" applyAlignment="1">
      <alignment horizontal="justify" vertical="center"/>
    </xf>
    <xf numFmtId="0" fontId="7" fillId="2" borderId="38" xfId="0" applyFont="1" applyFill="1" applyBorder="1" applyAlignment="1">
      <alignment horizontal="justify" vertical="center"/>
    </xf>
    <xf numFmtId="0" fontId="7" fillId="2" borderId="65" xfId="0" applyFont="1" applyFill="1" applyBorder="1" applyAlignment="1">
      <alignment horizontal="justify" vertical="center"/>
    </xf>
    <xf numFmtId="0" fontId="10" fillId="0" borderId="6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</cellXfs>
  <cellStyles count="7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127000</xdr:rowOff>
    </xdr:from>
    <xdr:to>
      <xdr:col>5</xdr:col>
      <xdr:colOff>508000</xdr:colOff>
      <xdr:row>5</xdr:row>
      <xdr:rowOff>165100</xdr:rowOff>
    </xdr:to>
    <xdr:pic>
      <xdr:nvPicPr>
        <xdr:cNvPr id="426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270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2032000</xdr:colOff>
      <xdr:row>0</xdr:row>
      <xdr:rowOff>139700</xdr:rowOff>
    </xdr:from>
    <xdr:to>
      <xdr:col>17</xdr:col>
      <xdr:colOff>635000</xdr:colOff>
      <xdr:row>5</xdr:row>
      <xdr:rowOff>25400</xdr:rowOff>
    </xdr:to>
    <xdr:pic>
      <xdr:nvPicPr>
        <xdr:cNvPr id="426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20100" y="1397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127000</xdr:rowOff>
    </xdr:from>
    <xdr:to>
      <xdr:col>5</xdr:col>
      <xdr:colOff>508000</xdr:colOff>
      <xdr:row>5</xdr:row>
      <xdr:rowOff>165100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270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2032000</xdr:colOff>
      <xdr:row>0</xdr:row>
      <xdr:rowOff>139700</xdr:rowOff>
    </xdr:from>
    <xdr:to>
      <xdr:col>17</xdr:col>
      <xdr:colOff>635000</xdr:colOff>
      <xdr:row>5</xdr:row>
      <xdr:rowOff>25400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20100" y="1397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127000</xdr:rowOff>
    </xdr:from>
    <xdr:to>
      <xdr:col>5</xdr:col>
      <xdr:colOff>508000</xdr:colOff>
      <xdr:row>5</xdr:row>
      <xdr:rowOff>165100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270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965200</xdr:colOff>
      <xdr:row>1</xdr:row>
      <xdr:rowOff>101600</xdr:rowOff>
    </xdr:from>
    <xdr:to>
      <xdr:col>17</xdr:col>
      <xdr:colOff>1498600</xdr:colOff>
      <xdr:row>5</xdr:row>
      <xdr:rowOff>38100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0154900" y="292100"/>
          <a:ext cx="26289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127000</xdr:rowOff>
    </xdr:from>
    <xdr:to>
      <xdr:col>5</xdr:col>
      <xdr:colOff>508000</xdr:colOff>
      <xdr:row>5</xdr:row>
      <xdr:rowOff>165100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270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2032000</xdr:colOff>
      <xdr:row>1</xdr:row>
      <xdr:rowOff>215900</xdr:rowOff>
    </xdr:from>
    <xdr:to>
      <xdr:col>17</xdr:col>
      <xdr:colOff>546100</xdr:colOff>
      <xdr:row>5</xdr:row>
      <xdr:rowOff>152400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126200" y="406400"/>
          <a:ext cx="27051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800100</xdr:colOff>
      <xdr:row>0</xdr:row>
      <xdr:rowOff>114300</xdr:rowOff>
    </xdr:from>
    <xdr:to>
      <xdr:col>4</xdr:col>
      <xdr:colOff>431800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838200</xdr:colOff>
      <xdr:row>1</xdr:row>
      <xdr:rowOff>177800</xdr:rowOff>
    </xdr:from>
    <xdr:to>
      <xdr:col>21</xdr:col>
      <xdr:colOff>1181100</xdr:colOff>
      <xdr:row>5</xdr:row>
      <xdr:rowOff>114300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3393400" y="3683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1422400</xdr:colOff>
      <xdr:row>3</xdr:row>
      <xdr:rowOff>38100</xdr:rowOff>
    </xdr:from>
    <xdr:to>
      <xdr:col>2</xdr:col>
      <xdr:colOff>2425700</xdr:colOff>
      <xdr:row>6</xdr:row>
      <xdr:rowOff>279400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0" y="7112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3200400</xdr:colOff>
      <xdr:row>3</xdr:row>
      <xdr:rowOff>114300</xdr:rowOff>
    </xdr:from>
    <xdr:to>
      <xdr:col>3</xdr:col>
      <xdr:colOff>1155700</xdr:colOff>
      <xdr:row>6</xdr:row>
      <xdr:rowOff>292100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191000" y="787400"/>
          <a:ext cx="19812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6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65" t="s">
        <v>16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</row>
    <row r="3" spans="2:20" ht="20" customHeight="1">
      <c r="B3" s="165" t="s">
        <v>19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2:20" ht="20" customHeight="1">
      <c r="B4" s="165" t="s">
        <v>36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8">
        <v>42735</v>
      </c>
      <c r="D8" s="166" t="s">
        <v>3</v>
      </c>
      <c r="E8" s="167"/>
      <c r="F8" s="167"/>
      <c r="G8" s="167"/>
      <c r="H8" s="167"/>
      <c r="I8" s="167"/>
      <c r="J8" s="167"/>
      <c r="K8" s="16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69" t="s">
        <v>17</v>
      </c>
      <c r="C9" s="172" t="s">
        <v>18</v>
      </c>
      <c r="D9" s="174" t="s">
        <v>0</v>
      </c>
      <c r="E9" s="177" t="s">
        <v>4</v>
      </c>
      <c r="F9" s="177"/>
      <c r="G9" s="177" t="s">
        <v>5</v>
      </c>
      <c r="H9" s="177"/>
      <c r="I9" s="177"/>
      <c r="J9" s="177"/>
      <c r="K9" s="179"/>
      <c r="L9" s="5"/>
      <c r="M9" s="174" t="s">
        <v>6</v>
      </c>
      <c r="N9" s="179"/>
      <c r="O9" s="151" t="s">
        <v>24</v>
      </c>
      <c r="P9" s="152"/>
      <c r="Q9" s="152"/>
      <c r="R9" s="152"/>
      <c r="S9" s="152"/>
      <c r="T9" s="153"/>
    </row>
    <row r="10" spans="2:20" ht="17" customHeight="1">
      <c r="B10" s="170"/>
      <c r="C10" s="173"/>
      <c r="D10" s="175"/>
      <c r="E10" s="178"/>
      <c r="F10" s="178"/>
      <c r="G10" s="178" t="s">
        <v>7</v>
      </c>
      <c r="H10" s="157" t="s">
        <v>25</v>
      </c>
      <c r="I10" s="157" t="s">
        <v>26</v>
      </c>
      <c r="J10" s="182" t="s">
        <v>1</v>
      </c>
      <c r="K10" s="180" t="s">
        <v>8</v>
      </c>
      <c r="L10" s="6"/>
      <c r="M10" s="147" t="s">
        <v>9</v>
      </c>
      <c r="N10" s="149" t="s">
        <v>10</v>
      </c>
      <c r="O10" s="154"/>
      <c r="P10" s="155"/>
      <c r="Q10" s="155"/>
      <c r="R10" s="155"/>
      <c r="S10" s="155"/>
      <c r="T10" s="156"/>
    </row>
    <row r="11" spans="2:20" ht="37.5" customHeight="1" thickBot="1">
      <c r="B11" s="171"/>
      <c r="C11" s="173"/>
      <c r="D11" s="176"/>
      <c r="E11" s="19" t="s">
        <v>11</v>
      </c>
      <c r="F11" s="19" t="s">
        <v>12</v>
      </c>
      <c r="G11" s="157"/>
      <c r="H11" s="158"/>
      <c r="I11" s="158"/>
      <c r="J11" s="183"/>
      <c r="K11" s="181"/>
      <c r="L11" s="20"/>
      <c r="M11" s="148"/>
      <c r="N11" s="150"/>
      <c r="O11" s="21" t="s">
        <v>23</v>
      </c>
      <c r="P11" s="22" t="s">
        <v>20</v>
      </c>
      <c r="Q11" s="23" t="s">
        <v>21</v>
      </c>
      <c r="R11" s="24" t="s">
        <v>22</v>
      </c>
      <c r="S11" s="24" t="s">
        <v>14</v>
      </c>
      <c r="T11" s="25" t="s">
        <v>15</v>
      </c>
    </row>
    <row r="12" spans="2:20" ht="46" thickBot="1">
      <c r="B12" s="49" t="s">
        <v>30</v>
      </c>
      <c r="C12" s="54" t="s">
        <v>31</v>
      </c>
      <c r="D12" s="50" t="s">
        <v>32</v>
      </c>
      <c r="E12" s="41">
        <v>42370</v>
      </c>
      <c r="F12" s="41">
        <v>42735</v>
      </c>
      <c r="G12" s="55" t="s">
        <v>27</v>
      </c>
      <c r="H12" s="42">
        <v>1</v>
      </c>
      <c r="I12" s="42">
        <v>0</v>
      </c>
      <c r="J12" s="42">
        <v>0</v>
      </c>
      <c r="K12" s="46">
        <v>0</v>
      </c>
      <c r="L12" s="51" t="e">
        <f>+K12/J12</f>
        <v>#DIV/0!</v>
      </c>
      <c r="M12" s="56">
        <f>DAYS360(E12,$C$8)/DAYS360(E12,F12)</f>
        <v>1</v>
      </c>
      <c r="N12" s="40" t="str">
        <f>IF(J12=0," -",IF(L12&gt;100%,100%,L12))</f>
        <v xml:space="preserve"> -</v>
      </c>
      <c r="O12" s="58" t="s">
        <v>57</v>
      </c>
      <c r="P12" s="38">
        <v>770000</v>
      </c>
      <c r="Q12" s="38">
        <v>0</v>
      </c>
      <c r="R12" s="38">
        <v>0</v>
      </c>
      <c r="S12" s="39">
        <f>IF(P12=0," -",Q12/P12)</f>
        <v>0</v>
      </c>
      <c r="T12" s="40" t="str">
        <f>IF(R12=0," -",IF(Q12=0,100%,R12/Q12))</f>
        <v xml:space="preserve"> -</v>
      </c>
    </row>
    <row r="13" spans="2:20" ht="13" customHeight="1" thickBot="1">
      <c r="B13" s="9"/>
      <c r="C13" s="10"/>
      <c r="D13" s="10"/>
      <c r="E13" s="11"/>
      <c r="F13" s="11"/>
      <c r="G13" s="10"/>
      <c r="H13" s="12"/>
      <c r="I13" s="12"/>
      <c r="J13" s="12"/>
      <c r="K13" s="12"/>
      <c r="L13" s="13"/>
      <c r="M13" s="14"/>
      <c r="N13" s="14"/>
      <c r="O13" s="10"/>
      <c r="P13" s="12"/>
      <c r="Q13" s="12"/>
      <c r="R13" s="12"/>
      <c r="S13" s="14"/>
      <c r="T13" s="15"/>
    </row>
    <row r="14" spans="2:20" ht="30">
      <c r="B14" s="159" t="s">
        <v>33</v>
      </c>
      <c r="C14" s="161" t="s">
        <v>34</v>
      </c>
      <c r="D14" s="163" t="s">
        <v>35</v>
      </c>
      <c r="E14" s="43">
        <v>42370</v>
      </c>
      <c r="F14" s="43">
        <v>42735</v>
      </c>
      <c r="G14" s="44" t="s">
        <v>28</v>
      </c>
      <c r="H14" s="45">
        <v>4</v>
      </c>
      <c r="I14" s="45">
        <v>1</v>
      </c>
      <c r="J14" s="45">
        <v>1</v>
      </c>
      <c r="K14" s="47">
        <v>1</v>
      </c>
      <c r="L14" s="52">
        <f>+K14/J14</f>
        <v>1</v>
      </c>
      <c r="M14" s="16">
        <f t="shared" ref="M14:M15" si="0">DAYS360(E14,$C$8)/DAYS360(E14,F14)</f>
        <v>1</v>
      </c>
      <c r="N14" s="17">
        <f t="shared" ref="N14:N15" si="1">IF(J14=0," -",IF(L14&gt;100%,100%,L14))</f>
        <v>1</v>
      </c>
      <c r="O14" s="59" t="s">
        <v>58</v>
      </c>
      <c r="P14" s="32">
        <v>4453000</v>
      </c>
      <c r="Q14" s="32">
        <v>269838</v>
      </c>
      <c r="R14" s="32">
        <v>0</v>
      </c>
      <c r="S14" s="18">
        <f t="shared" ref="S14:S15" si="2">IF(P14=0," -",Q14/P14)</f>
        <v>6.0596900965641139E-2</v>
      </c>
      <c r="T14" s="17" t="str">
        <f t="shared" ref="T14:T15" si="3">IF(R14=0," -",IF(Q14=0,100%,R14/Q14))</f>
        <v xml:space="preserve"> -</v>
      </c>
    </row>
    <row r="15" spans="2:20" ht="31" thickBot="1">
      <c r="B15" s="160"/>
      <c r="C15" s="162"/>
      <c r="D15" s="164"/>
      <c r="E15" s="33">
        <v>42370</v>
      </c>
      <c r="F15" s="33">
        <v>42735</v>
      </c>
      <c r="G15" s="34" t="s">
        <v>29</v>
      </c>
      <c r="H15" s="35">
        <v>72</v>
      </c>
      <c r="I15" s="35">
        <v>0</v>
      </c>
      <c r="J15" s="35">
        <v>0</v>
      </c>
      <c r="K15" s="48">
        <v>0</v>
      </c>
      <c r="L15" s="53" t="e">
        <f>+K15/J15</f>
        <v>#DIV/0!</v>
      </c>
      <c r="M15" s="57">
        <f t="shared" si="0"/>
        <v>1</v>
      </c>
      <c r="N15" s="37" t="str">
        <f t="shared" si="1"/>
        <v xml:space="preserve"> -</v>
      </c>
      <c r="O15" s="60">
        <v>22121</v>
      </c>
      <c r="P15" s="35">
        <v>100000</v>
      </c>
      <c r="Q15" s="35">
        <v>0</v>
      </c>
      <c r="R15" s="35">
        <v>0</v>
      </c>
      <c r="S15" s="36">
        <f t="shared" si="2"/>
        <v>0</v>
      </c>
      <c r="T15" s="37" t="str">
        <f t="shared" si="3"/>
        <v xml:space="preserve"> -</v>
      </c>
    </row>
    <row r="16" spans="2:20" ht="21" customHeight="1" thickBot="1">
      <c r="M16" s="26">
        <f>+AVERAGE(M12,M14:M15)</f>
        <v>1</v>
      </c>
      <c r="N16" s="27">
        <f>+AVERAGE(N12,N14:N15)</f>
        <v>1</v>
      </c>
      <c r="O16" s="28"/>
      <c r="P16" s="29">
        <f>+SUM(P12,P14:P15)</f>
        <v>5323000</v>
      </c>
      <c r="Q16" s="30">
        <f>+SUM(Q12,Q14:Q15)</f>
        <v>269838</v>
      </c>
      <c r="R16" s="30">
        <f>+SUM(R12,R14:R15)</f>
        <v>0</v>
      </c>
      <c r="S16" s="31">
        <f t="shared" ref="S16" si="4">IF(P16=0," -",Q16/P16)</f>
        <v>5.0692842382115348E-2</v>
      </c>
      <c r="T16" s="27" t="str">
        <f t="shared" ref="T16" si="5">IF(R16=0," -",IF(Q16=0,100%,R16/Q16))</f>
        <v xml:space="preserve"> -</v>
      </c>
    </row>
  </sheetData>
  <mergeCells count="21">
    <mergeCell ref="B14:B15"/>
    <mergeCell ref="C14:C15"/>
    <mergeCell ref="D14:D15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  <mergeCell ref="H10:H11"/>
    <mergeCell ref="I10:I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6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65" t="s">
        <v>16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</row>
    <row r="3" spans="2:20" ht="20" customHeight="1">
      <c r="B3" s="165" t="s">
        <v>19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2:20" ht="20" customHeight="1">
      <c r="B4" s="165" t="s">
        <v>36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8">
        <v>43100</v>
      </c>
      <c r="D8" s="166" t="s">
        <v>3</v>
      </c>
      <c r="E8" s="167"/>
      <c r="F8" s="167"/>
      <c r="G8" s="167"/>
      <c r="H8" s="167"/>
      <c r="I8" s="167"/>
      <c r="J8" s="167"/>
      <c r="K8" s="16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69" t="s">
        <v>17</v>
      </c>
      <c r="C9" s="172" t="s">
        <v>18</v>
      </c>
      <c r="D9" s="174" t="s">
        <v>0</v>
      </c>
      <c r="E9" s="177" t="s">
        <v>4</v>
      </c>
      <c r="F9" s="177"/>
      <c r="G9" s="177" t="s">
        <v>5</v>
      </c>
      <c r="H9" s="177"/>
      <c r="I9" s="177"/>
      <c r="J9" s="177"/>
      <c r="K9" s="179"/>
      <c r="L9" s="5"/>
      <c r="M9" s="174" t="s">
        <v>6</v>
      </c>
      <c r="N9" s="179"/>
      <c r="O9" s="151" t="s">
        <v>24</v>
      </c>
      <c r="P9" s="152"/>
      <c r="Q9" s="152"/>
      <c r="R9" s="152"/>
      <c r="S9" s="152"/>
      <c r="T9" s="153"/>
    </row>
    <row r="10" spans="2:20" ht="17" customHeight="1">
      <c r="B10" s="170"/>
      <c r="C10" s="173"/>
      <c r="D10" s="175"/>
      <c r="E10" s="178"/>
      <c r="F10" s="178"/>
      <c r="G10" s="178" t="s">
        <v>7</v>
      </c>
      <c r="H10" s="157" t="s">
        <v>25</v>
      </c>
      <c r="I10" s="157" t="s">
        <v>26</v>
      </c>
      <c r="J10" s="182" t="s">
        <v>1</v>
      </c>
      <c r="K10" s="180" t="s">
        <v>8</v>
      </c>
      <c r="L10" s="6"/>
      <c r="M10" s="147" t="s">
        <v>9</v>
      </c>
      <c r="N10" s="149" t="s">
        <v>10</v>
      </c>
      <c r="O10" s="154"/>
      <c r="P10" s="155"/>
      <c r="Q10" s="155"/>
      <c r="R10" s="155"/>
      <c r="S10" s="155"/>
      <c r="T10" s="156"/>
    </row>
    <row r="11" spans="2:20" ht="37.5" customHeight="1" thickBot="1">
      <c r="B11" s="171"/>
      <c r="C11" s="173"/>
      <c r="D11" s="176"/>
      <c r="E11" s="19" t="s">
        <v>11</v>
      </c>
      <c r="F11" s="19" t="s">
        <v>12</v>
      </c>
      <c r="G11" s="157"/>
      <c r="H11" s="158"/>
      <c r="I11" s="158"/>
      <c r="J11" s="183"/>
      <c r="K11" s="181"/>
      <c r="L11" s="20"/>
      <c r="M11" s="148"/>
      <c r="N11" s="150"/>
      <c r="O11" s="21" t="s">
        <v>23</v>
      </c>
      <c r="P11" s="22" t="s">
        <v>20</v>
      </c>
      <c r="Q11" s="23" t="s">
        <v>21</v>
      </c>
      <c r="R11" s="24" t="s">
        <v>22</v>
      </c>
      <c r="S11" s="24" t="s">
        <v>14</v>
      </c>
      <c r="T11" s="25" t="s">
        <v>15</v>
      </c>
    </row>
    <row r="12" spans="2:20" ht="46" thickBot="1">
      <c r="B12" s="49" t="s">
        <v>30</v>
      </c>
      <c r="C12" s="54" t="s">
        <v>31</v>
      </c>
      <c r="D12" s="50" t="s">
        <v>32</v>
      </c>
      <c r="E12" s="41">
        <v>42736</v>
      </c>
      <c r="F12" s="41">
        <v>43100</v>
      </c>
      <c r="G12" s="55" t="s">
        <v>27</v>
      </c>
      <c r="H12" s="42">
        <v>1</v>
      </c>
      <c r="I12" s="42">
        <f>+J12</f>
        <v>1</v>
      </c>
      <c r="J12" s="42">
        <v>1</v>
      </c>
      <c r="K12" s="46">
        <v>1</v>
      </c>
      <c r="L12" s="51">
        <f>+K12/J12</f>
        <v>1</v>
      </c>
      <c r="M12" s="56">
        <f>DAYS360(E12,$C$8)/DAYS360(E12,F12)</f>
        <v>1</v>
      </c>
      <c r="N12" s="40">
        <f>IF(J12=0," -",IF(L12&gt;100%,100%,L12))</f>
        <v>1</v>
      </c>
      <c r="O12" s="58" t="s">
        <v>57</v>
      </c>
      <c r="P12" s="38">
        <v>1427338</v>
      </c>
      <c r="Q12" s="38">
        <v>778799</v>
      </c>
      <c r="R12" s="38">
        <v>618838</v>
      </c>
      <c r="S12" s="39">
        <f>IF(P12=0," -",Q12/P12)</f>
        <v>0.54563039728501583</v>
      </c>
      <c r="T12" s="40">
        <f>IF(R12=0," -",IF(Q12=0,100%,R12/Q12))</f>
        <v>0.79460554006874684</v>
      </c>
    </row>
    <row r="13" spans="2:20" ht="13" customHeight="1" thickBot="1">
      <c r="B13" s="9"/>
      <c r="C13" s="10"/>
      <c r="D13" s="10"/>
      <c r="E13" s="11"/>
      <c r="F13" s="11"/>
      <c r="G13" s="10"/>
      <c r="H13" s="12"/>
      <c r="I13" s="12"/>
      <c r="J13" s="12"/>
      <c r="K13" s="12"/>
      <c r="L13" s="13"/>
      <c r="M13" s="14"/>
      <c r="N13" s="14"/>
      <c r="O13" s="10"/>
      <c r="P13" s="12"/>
      <c r="Q13" s="12"/>
      <c r="R13" s="12"/>
      <c r="S13" s="14"/>
      <c r="T13" s="15"/>
    </row>
    <row r="14" spans="2:20" ht="30">
      <c r="B14" s="159" t="s">
        <v>33</v>
      </c>
      <c r="C14" s="161" t="s">
        <v>34</v>
      </c>
      <c r="D14" s="163" t="s">
        <v>35</v>
      </c>
      <c r="E14" s="43">
        <v>42736</v>
      </c>
      <c r="F14" s="43">
        <v>43100</v>
      </c>
      <c r="G14" s="44" t="s">
        <v>28</v>
      </c>
      <c r="H14" s="45">
        <v>4</v>
      </c>
      <c r="I14" s="45">
        <f>+J14+('2016'!J14-'2016'!K14)</f>
        <v>1</v>
      </c>
      <c r="J14" s="45">
        <v>1</v>
      </c>
      <c r="K14" s="47">
        <v>1</v>
      </c>
      <c r="L14" s="52">
        <f>+K14/J14</f>
        <v>1</v>
      </c>
      <c r="M14" s="16">
        <f t="shared" ref="M14:M15" si="0">DAYS360(E14,$C$8)/DAYS360(E14,F14)</f>
        <v>1</v>
      </c>
      <c r="N14" s="17">
        <f t="shared" ref="N14:N15" si="1">IF(J14=0," -",IF(L14&gt;100%,100%,L14))</f>
        <v>1</v>
      </c>
      <c r="O14" s="59" t="s">
        <v>58</v>
      </c>
      <c r="P14" s="32">
        <v>10999261</v>
      </c>
      <c r="Q14" s="32">
        <v>7037711</v>
      </c>
      <c r="R14" s="32">
        <v>684901</v>
      </c>
      <c r="S14" s="18">
        <f t="shared" ref="S14:S16" si="2">IF(P14=0," -",Q14/P14)</f>
        <v>0.63983489436244856</v>
      </c>
      <c r="T14" s="17">
        <f t="shared" ref="T14:T16" si="3">IF(R14=0," -",IF(Q14=0,100%,R14/Q14))</f>
        <v>9.7318716270105438E-2</v>
      </c>
    </row>
    <row r="15" spans="2:20" ht="31" thickBot="1">
      <c r="B15" s="160"/>
      <c r="C15" s="162"/>
      <c r="D15" s="164"/>
      <c r="E15" s="33">
        <v>42736</v>
      </c>
      <c r="F15" s="33">
        <v>43100</v>
      </c>
      <c r="G15" s="34" t="s">
        <v>29</v>
      </c>
      <c r="H15" s="35">
        <v>72</v>
      </c>
      <c r="I15" s="35">
        <f>+J15+('2016'!J15-'2016'!K15)</f>
        <v>24</v>
      </c>
      <c r="J15" s="35">
        <v>24</v>
      </c>
      <c r="K15" s="48">
        <v>2</v>
      </c>
      <c r="L15" s="53">
        <f>+K15/J15</f>
        <v>8.3333333333333329E-2</v>
      </c>
      <c r="M15" s="57">
        <f t="shared" si="0"/>
        <v>1</v>
      </c>
      <c r="N15" s="37">
        <f t="shared" si="1"/>
        <v>8.3333333333333329E-2</v>
      </c>
      <c r="O15" s="60">
        <v>22121</v>
      </c>
      <c r="P15" s="35">
        <v>105000</v>
      </c>
      <c r="Q15" s="35">
        <v>86763</v>
      </c>
      <c r="R15" s="35">
        <v>0</v>
      </c>
      <c r="S15" s="36">
        <f t="shared" si="2"/>
        <v>0.82631428571428567</v>
      </c>
      <c r="T15" s="37" t="str">
        <f t="shared" si="3"/>
        <v xml:space="preserve"> -</v>
      </c>
    </row>
    <row r="16" spans="2:20" ht="21" customHeight="1" thickBot="1">
      <c r="M16" s="26">
        <f>+AVERAGE(M12,M14:M15)</f>
        <v>1</v>
      </c>
      <c r="N16" s="27">
        <f>+AVERAGE(N12,N14:N15)</f>
        <v>0.69444444444444453</v>
      </c>
      <c r="O16" s="28"/>
      <c r="P16" s="29">
        <f>+SUM(P12,P14:P15)</f>
        <v>12531599</v>
      </c>
      <c r="Q16" s="30">
        <f>+SUM(Q12,Q14:Q15)</f>
        <v>7903273</v>
      </c>
      <c r="R16" s="30">
        <f>+SUM(R12,R14:R15)</f>
        <v>1303739</v>
      </c>
      <c r="S16" s="31">
        <f t="shared" si="2"/>
        <v>0.63066756285450887</v>
      </c>
      <c r="T16" s="27">
        <f t="shared" si="3"/>
        <v>0.16496190881929551</v>
      </c>
    </row>
  </sheetData>
  <mergeCells count="21">
    <mergeCell ref="B14:B15"/>
    <mergeCell ref="C14:C15"/>
    <mergeCell ref="D14:D15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6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65" t="s">
        <v>16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</row>
    <row r="3" spans="2:20" ht="20" customHeight="1">
      <c r="B3" s="165" t="s">
        <v>19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2:20" ht="20" customHeight="1">
      <c r="B4" s="165" t="s">
        <v>36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8">
        <v>43465</v>
      </c>
      <c r="D8" s="166" t="s">
        <v>3</v>
      </c>
      <c r="E8" s="167"/>
      <c r="F8" s="167"/>
      <c r="G8" s="167"/>
      <c r="H8" s="167"/>
      <c r="I8" s="167"/>
      <c r="J8" s="167"/>
      <c r="K8" s="16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69" t="s">
        <v>17</v>
      </c>
      <c r="C9" s="172" t="s">
        <v>18</v>
      </c>
      <c r="D9" s="174" t="s">
        <v>0</v>
      </c>
      <c r="E9" s="177" t="s">
        <v>4</v>
      </c>
      <c r="F9" s="177"/>
      <c r="G9" s="177" t="s">
        <v>5</v>
      </c>
      <c r="H9" s="177"/>
      <c r="I9" s="177"/>
      <c r="J9" s="177"/>
      <c r="K9" s="179"/>
      <c r="L9" s="5"/>
      <c r="M9" s="174" t="s">
        <v>6</v>
      </c>
      <c r="N9" s="179"/>
      <c r="O9" s="151" t="s">
        <v>24</v>
      </c>
      <c r="P9" s="152"/>
      <c r="Q9" s="152"/>
      <c r="R9" s="152"/>
      <c r="S9" s="152"/>
      <c r="T9" s="153"/>
    </row>
    <row r="10" spans="2:20" ht="17" customHeight="1">
      <c r="B10" s="170"/>
      <c r="C10" s="173"/>
      <c r="D10" s="175"/>
      <c r="E10" s="178"/>
      <c r="F10" s="178"/>
      <c r="G10" s="178" t="s">
        <v>7</v>
      </c>
      <c r="H10" s="157" t="s">
        <v>25</v>
      </c>
      <c r="I10" s="157" t="s">
        <v>26</v>
      </c>
      <c r="J10" s="182" t="s">
        <v>1</v>
      </c>
      <c r="K10" s="180" t="s">
        <v>8</v>
      </c>
      <c r="L10" s="6"/>
      <c r="M10" s="147" t="s">
        <v>9</v>
      </c>
      <c r="N10" s="149" t="s">
        <v>10</v>
      </c>
      <c r="O10" s="154"/>
      <c r="P10" s="155"/>
      <c r="Q10" s="155"/>
      <c r="R10" s="155"/>
      <c r="S10" s="155"/>
      <c r="T10" s="156"/>
    </row>
    <row r="11" spans="2:20" ht="37.5" customHeight="1" thickBot="1">
      <c r="B11" s="171"/>
      <c r="C11" s="173"/>
      <c r="D11" s="176"/>
      <c r="E11" s="19" t="s">
        <v>11</v>
      </c>
      <c r="F11" s="19" t="s">
        <v>12</v>
      </c>
      <c r="G11" s="157"/>
      <c r="H11" s="158"/>
      <c r="I11" s="158"/>
      <c r="J11" s="183"/>
      <c r="K11" s="181"/>
      <c r="L11" s="20"/>
      <c r="M11" s="148"/>
      <c r="N11" s="150"/>
      <c r="O11" s="21" t="s">
        <v>23</v>
      </c>
      <c r="P11" s="22" t="s">
        <v>20</v>
      </c>
      <c r="Q11" s="23" t="s">
        <v>21</v>
      </c>
      <c r="R11" s="24" t="s">
        <v>22</v>
      </c>
      <c r="S11" s="24" t="s">
        <v>14</v>
      </c>
      <c r="T11" s="25" t="s">
        <v>15</v>
      </c>
    </row>
    <row r="12" spans="2:20" ht="46" thickBot="1">
      <c r="B12" s="49" t="s">
        <v>30</v>
      </c>
      <c r="C12" s="54" t="s">
        <v>31</v>
      </c>
      <c r="D12" s="50" t="s">
        <v>32</v>
      </c>
      <c r="E12" s="41">
        <v>43101</v>
      </c>
      <c r="F12" s="41">
        <v>43465</v>
      </c>
      <c r="G12" s="55" t="s">
        <v>27</v>
      </c>
      <c r="H12" s="42">
        <v>1</v>
      </c>
      <c r="I12" s="42">
        <f>+J12</f>
        <v>1</v>
      </c>
      <c r="J12" s="42">
        <v>1</v>
      </c>
      <c r="K12" s="145">
        <v>0.3</v>
      </c>
      <c r="L12" s="51">
        <f>+K12/J12</f>
        <v>0.3</v>
      </c>
      <c r="M12" s="56">
        <f>DAYS360(E12,$C$8)/DAYS360(E12,F12)</f>
        <v>1</v>
      </c>
      <c r="N12" s="40">
        <f>IF(J12=0," -",IF(L12&gt;100%,100%,L12))</f>
        <v>0.3</v>
      </c>
      <c r="O12" s="58" t="s">
        <v>57</v>
      </c>
      <c r="P12" s="38">
        <v>848875</v>
      </c>
      <c r="Q12" s="38">
        <v>44000</v>
      </c>
      <c r="R12" s="38">
        <v>0</v>
      </c>
      <c r="S12" s="39">
        <f>IF(P12=0," -",Q12/P12)</f>
        <v>5.1833308791046973E-2</v>
      </c>
      <c r="T12" s="40" t="str">
        <f>IF(R12=0," -",IF(Q12=0,100%,R12/Q12))</f>
        <v xml:space="preserve"> -</v>
      </c>
    </row>
    <row r="13" spans="2:20" ht="13" customHeight="1" thickBot="1">
      <c r="B13" s="9"/>
      <c r="C13" s="10"/>
      <c r="D13" s="10"/>
      <c r="E13" s="11"/>
      <c r="F13" s="11"/>
      <c r="G13" s="10"/>
      <c r="H13" s="12"/>
      <c r="I13" s="12"/>
      <c r="J13" s="12"/>
      <c r="K13" s="12"/>
      <c r="L13" s="13"/>
      <c r="M13" s="14"/>
      <c r="N13" s="14"/>
      <c r="O13" s="10"/>
      <c r="P13" s="12"/>
      <c r="Q13" s="12"/>
      <c r="R13" s="12"/>
      <c r="S13" s="14"/>
      <c r="T13" s="15"/>
    </row>
    <row r="14" spans="2:20" ht="30">
      <c r="B14" s="159" t="s">
        <v>33</v>
      </c>
      <c r="C14" s="161" t="s">
        <v>34</v>
      </c>
      <c r="D14" s="163" t="s">
        <v>35</v>
      </c>
      <c r="E14" s="43">
        <v>43101</v>
      </c>
      <c r="F14" s="43">
        <v>43465</v>
      </c>
      <c r="G14" s="44" t="s">
        <v>28</v>
      </c>
      <c r="H14" s="45">
        <v>4</v>
      </c>
      <c r="I14" s="45">
        <f>+J14+('2017'!I14-'2017'!K14)</f>
        <v>1</v>
      </c>
      <c r="J14" s="45">
        <v>1</v>
      </c>
      <c r="K14" s="47">
        <v>1</v>
      </c>
      <c r="L14" s="52">
        <f>+K14/J14</f>
        <v>1</v>
      </c>
      <c r="M14" s="16">
        <f t="shared" ref="M14:M15" si="0">DAYS360(E14,$C$8)/DAYS360(E14,F14)</f>
        <v>1</v>
      </c>
      <c r="N14" s="17">
        <f t="shared" ref="N14:N15" si="1">IF(J14=0," -",IF(L14&gt;100%,100%,L14))</f>
        <v>1</v>
      </c>
      <c r="O14" s="59" t="s">
        <v>58</v>
      </c>
      <c r="P14" s="32">
        <v>7218284</v>
      </c>
      <c r="Q14" s="32">
        <v>2869178</v>
      </c>
      <c r="R14" s="32">
        <v>0</v>
      </c>
      <c r="S14" s="18">
        <f t="shared" ref="S14:S16" si="2">IF(P14=0," -",Q14/P14)</f>
        <v>0.39748754690172899</v>
      </c>
      <c r="T14" s="17" t="str">
        <f t="shared" ref="T14:T16" si="3">IF(R14=0," -",IF(Q14=0,100%,R14/Q14))</f>
        <v xml:space="preserve"> -</v>
      </c>
    </row>
    <row r="15" spans="2:20" ht="31" thickBot="1">
      <c r="B15" s="160"/>
      <c r="C15" s="162"/>
      <c r="D15" s="164"/>
      <c r="E15" s="33">
        <v>43101</v>
      </c>
      <c r="F15" s="33">
        <v>43465</v>
      </c>
      <c r="G15" s="34" t="s">
        <v>29</v>
      </c>
      <c r="H15" s="35">
        <v>72</v>
      </c>
      <c r="I15" s="35">
        <f>+J15+('2017'!I15-'2017'!K15)</f>
        <v>46</v>
      </c>
      <c r="J15" s="35">
        <v>24</v>
      </c>
      <c r="K15" s="48">
        <v>88</v>
      </c>
      <c r="L15" s="53">
        <f>+K15/J15</f>
        <v>3.6666666666666665</v>
      </c>
      <c r="M15" s="57">
        <f t="shared" si="0"/>
        <v>1</v>
      </c>
      <c r="N15" s="37">
        <f t="shared" si="1"/>
        <v>1</v>
      </c>
      <c r="O15" s="60">
        <v>22121</v>
      </c>
      <c r="P15" s="35">
        <v>100000</v>
      </c>
      <c r="Q15" s="35">
        <v>38292</v>
      </c>
      <c r="R15" s="35">
        <v>0</v>
      </c>
      <c r="S15" s="36">
        <f t="shared" si="2"/>
        <v>0.38291999999999998</v>
      </c>
      <c r="T15" s="37" t="str">
        <f t="shared" si="3"/>
        <v xml:space="preserve"> -</v>
      </c>
    </row>
    <row r="16" spans="2:20" ht="21" customHeight="1" thickBot="1">
      <c r="M16" s="26">
        <f>+AVERAGE(M12,M14:M15)</f>
        <v>1</v>
      </c>
      <c r="N16" s="27">
        <f>+AVERAGE(N12,N14:N15)</f>
        <v>0.76666666666666661</v>
      </c>
      <c r="O16" s="28"/>
      <c r="P16" s="29">
        <f>+SUM(P12,P14:P15)</f>
        <v>8167159</v>
      </c>
      <c r="Q16" s="30">
        <f>+SUM(Q12,Q14:Q15)</f>
        <v>2951470</v>
      </c>
      <c r="R16" s="30">
        <f>+SUM(R12,R14:R15)</f>
        <v>0</v>
      </c>
      <c r="S16" s="31">
        <f t="shared" si="2"/>
        <v>0.36138270358150243</v>
      </c>
      <c r="T16" s="27" t="str">
        <f t="shared" si="3"/>
        <v xml:space="preserve"> -</v>
      </c>
    </row>
  </sheetData>
  <mergeCells count="21">
    <mergeCell ref="B14:B15"/>
    <mergeCell ref="C14:C15"/>
    <mergeCell ref="D14:D15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6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65" t="s">
        <v>16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</row>
    <row r="3" spans="2:20" ht="20" customHeight="1">
      <c r="B3" s="165" t="s">
        <v>19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2:20" ht="20" customHeight="1">
      <c r="B4" s="165" t="s">
        <v>36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8">
        <v>43738</v>
      </c>
      <c r="D8" s="166" t="s">
        <v>3</v>
      </c>
      <c r="E8" s="167"/>
      <c r="F8" s="167"/>
      <c r="G8" s="167"/>
      <c r="H8" s="167"/>
      <c r="I8" s="167"/>
      <c r="J8" s="167"/>
      <c r="K8" s="16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69" t="s">
        <v>17</v>
      </c>
      <c r="C9" s="172" t="s">
        <v>18</v>
      </c>
      <c r="D9" s="174" t="s">
        <v>0</v>
      </c>
      <c r="E9" s="177" t="s">
        <v>4</v>
      </c>
      <c r="F9" s="177"/>
      <c r="G9" s="177" t="s">
        <v>5</v>
      </c>
      <c r="H9" s="177"/>
      <c r="I9" s="177"/>
      <c r="J9" s="177"/>
      <c r="K9" s="179"/>
      <c r="L9" s="5"/>
      <c r="M9" s="174" t="s">
        <v>6</v>
      </c>
      <c r="N9" s="179"/>
      <c r="O9" s="151" t="s">
        <v>24</v>
      </c>
      <c r="P9" s="152"/>
      <c r="Q9" s="152"/>
      <c r="R9" s="152"/>
      <c r="S9" s="152"/>
      <c r="T9" s="153"/>
    </row>
    <row r="10" spans="2:20" ht="17" customHeight="1">
      <c r="B10" s="170"/>
      <c r="C10" s="173"/>
      <c r="D10" s="175"/>
      <c r="E10" s="178"/>
      <c r="F10" s="178"/>
      <c r="G10" s="178" t="s">
        <v>7</v>
      </c>
      <c r="H10" s="157" t="s">
        <v>25</v>
      </c>
      <c r="I10" s="157" t="s">
        <v>26</v>
      </c>
      <c r="J10" s="182" t="s">
        <v>1</v>
      </c>
      <c r="K10" s="180" t="s">
        <v>8</v>
      </c>
      <c r="L10" s="6"/>
      <c r="M10" s="147" t="s">
        <v>9</v>
      </c>
      <c r="N10" s="149" t="s">
        <v>10</v>
      </c>
      <c r="O10" s="154"/>
      <c r="P10" s="155"/>
      <c r="Q10" s="155"/>
      <c r="R10" s="155"/>
      <c r="S10" s="155"/>
      <c r="T10" s="156"/>
    </row>
    <row r="11" spans="2:20" ht="37.5" customHeight="1" thickBot="1">
      <c r="B11" s="171"/>
      <c r="C11" s="173"/>
      <c r="D11" s="176"/>
      <c r="E11" s="19" t="s">
        <v>11</v>
      </c>
      <c r="F11" s="19" t="s">
        <v>12</v>
      </c>
      <c r="G11" s="157"/>
      <c r="H11" s="158"/>
      <c r="I11" s="158"/>
      <c r="J11" s="183"/>
      <c r="K11" s="181"/>
      <c r="L11" s="20"/>
      <c r="M11" s="148"/>
      <c r="N11" s="150"/>
      <c r="O11" s="21" t="s">
        <v>23</v>
      </c>
      <c r="P11" s="22" t="s">
        <v>20</v>
      </c>
      <c r="Q11" s="23" t="s">
        <v>21</v>
      </c>
      <c r="R11" s="24" t="s">
        <v>22</v>
      </c>
      <c r="S11" s="24" t="s">
        <v>14</v>
      </c>
      <c r="T11" s="25" t="s">
        <v>15</v>
      </c>
    </row>
    <row r="12" spans="2:20" ht="46" thickBot="1">
      <c r="B12" s="49" t="s">
        <v>30</v>
      </c>
      <c r="C12" s="54" t="s">
        <v>31</v>
      </c>
      <c r="D12" s="50" t="s">
        <v>32</v>
      </c>
      <c r="E12" s="41">
        <v>43466</v>
      </c>
      <c r="F12" s="41">
        <v>43830</v>
      </c>
      <c r="G12" s="55" t="s">
        <v>27</v>
      </c>
      <c r="H12" s="42">
        <v>1</v>
      </c>
      <c r="I12" s="42">
        <f>+J12</f>
        <v>1</v>
      </c>
      <c r="J12" s="42">
        <v>1</v>
      </c>
      <c r="K12" s="46">
        <v>1</v>
      </c>
      <c r="L12" s="51">
        <f>+K12/J12</f>
        <v>1</v>
      </c>
      <c r="M12" s="56">
        <f>DAYS360(E12,$C$8)/DAYS360(E12,F12)</f>
        <v>0.74722222222222223</v>
      </c>
      <c r="N12" s="40">
        <f>IF(J12=0," -",IF(L12&gt;100%,100%,L12))</f>
        <v>1</v>
      </c>
      <c r="O12" s="58" t="s">
        <v>57</v>
      </c>
      <c r="P12" s="38">
        <v>295000</v>
      </c>
      <c r="Q12" s="38">
        <v>172484</v>
      </c>
      <c r="R12" s="38">
        <v>0</v>
      </c>
      <c r="S12" s="39">
        <f>IF(P12=0," -",Q12/P12)</f>
        <v>0.58469152542372882</v>
      </c>
      <c r="T12" s="40" t="str">
        <f>IF(R12=0," -",IF(Q12=0,100%,R12/Q12))</f>
        <v xml:space="preserve"> -</v>
      </c>
    </row>
    <row r="13" spans="2:20" ht="13" customHeight="1" thickBot="1">
      <c r="B13" s="9"/>
      <c r="C13" s="10"/>
      <c r="D13" s="10"/>
      <c r="E13" s="11"/>
      <c r="F13" s="11"/>
      <c r="G13" s="10"/>
      <c r="H13" s="12"/>
      <c r="I13" s="12"/>
      <c r="J13" s="12"/>
      <c r="K13" s="12"/>
      <c r="L13" s="13"/>
      <c r="M13" s="14"/>
      <c r="N13" s="14"/>
      <c r="O13" s="10"/>
      <c r="P13" s="12"/>
      <c r="Q13" s="12"/>
      <c r="R13" s="12"/>
      <c r="S13" s="14"/>
      <c r="T13" s="15"/>
    </row>
    <row r="14" spans="2:20" ht="30">
      <c r="B14" s="159" t="s">
        <v>33</v>
      </c>
      <c r="C14" s="161" t="s">
        <v>34</v>
      </c>
      <c r="D14" s="163" t="s">
        <v>35</v>
      </c>
      <c r="E14" s="43">
        <v>43466</v>
      </c>
      <c r="F14" s="43">
        <v>43830</v>
      </c>
      <c r="G14" s="44" t="s">
        <v>28</v>
      </c>
      <c r="H14" s="45">
        <v>4</v>
      </c>
      <c r="I14" s="45">
        <f>+J14+('2018'!I14-'2018'!K14)</f>
        <v>1</v>
      </c>
      <c r="J14" s="45">
        <v>1</v>
      </c>
      <c r="K14" s="47">
        <v>1</v>
      </c>
      <c r="L14" s="52">
        <f>+K14/J14</f>
        <v>1</v>
      </c>
      <c r="M14" s="16">
        <f t="shared" ref="M14:M15" si="0">DAYS360(E14,$C$8)/DAYS360(E14,F14)</f>
        <v>0.74722222222222223</v>
      </c>
      <c r="N14" s="17">
        <f t="shared" ref="N14:N15" si="1">IF(J14=0," -",IF(L14&gt;100%,100%,L14))</f>
        <v>1</v>
      </c>
      <c r="O14" s="59" t="s">
        <v>58</v>
      </c>
      <c r="P14" s="32">
        <v>8472000</v>
      </c>
      <c r="Q14" s="32">
        <v>1484883</v>
      </c>
      <c r="R14" s="32">
        <v>0</v>
      </c>
      <c r="S14" s="18">
        <f t="shared" ref="S14:S16" si="2">IF(P14=0," -",Q14/P14)</f>
        <v>0.17526947592067987</v>
      </c>
      <c r="T14" s="17" t="str">
        <f t="shared" ref="T14:T16" si="3">IF(R14=0," -",IF(Q14=0,100%,R14/Q14))</f>
        <v xml:space="preserve"> -</v>
      </c>
    </row>
    <row r="15" spans="2:20" ht="31" thickBot="1">
      <c r="B15" s="160"/>
      <c r="C15" s="162"/>
      <c r="D15" s="164"/>
      <c r="E15" s="33">
        <v>43466</v>
      </c>
      <c r="F15" s="33">
        <v>43830</v>
      </c>
      <c r="G15" s="34" t="s">
        <v>29</v>
      </c>
      <c r="H15" s="35">
        <v>72</v>
      </c>
      <c r="I15" s="35">
        <f>+J15+('2018'!I15-'2018'!K15)</f>
        <v>-18</v>
      </c>
      <c r="J15" s="35">
        <v>24</v>
      </c>
      <c r="K15" s="48">
        <v>120</v>
      </c>
      <c r="L15" s="53">
        <f>+K15/J15</f>
        <v>5</v>
      </c>
      <c r="M15" s="57">
        <f t="shared" si="0"/>
        <v>0.74722222222222223</v>
      </c>
      <c r="N15" s="37">
        <f t="shared" si="1"/>
        <v>1</v>
      </c>
      <c r="O15" s="60">
        <v>22121</v>
      </c>
      <c r="P15" s="35">
        <v>80000</v>
      </c>
      <c r="Q15" s="35">
        <v>47980</v>
      </c>
      <c r="R15" s="35">
        <v>0</v>
      </c>
      <c r="S15" s="36">
        <f t="shared" si="2"/>
        <v>0.59975000000000001</v>
      </c>
      <c r="T15" s="37" t="str">
        <f t="shared" si="3"/>
        <v xml:space="preserve"> -</v>
      </c>
    </row>
    <row r="16" spans="2:20" ht="21" customHeight="1" thickBot="1">
      <c r="M16" s="26">
        <f>+AVERAGE(M12,M14:M15)</f>
        <v>0.74722222222222223</v>
      </c>
      <c r="N16" s="27">
        <f>+AVERAGE(N12,N14:N15)</f>
        <v>1</v>
      </c>
      <c r="O16" s="28"/>
      <c r="P16" s="29">
        <f>+SUM(P12,P14:P15)</f>
        <v>8847000</v>
      </c>
      <c r="Q16" s="30">
        <f>+SUM(Q12,Q14:Q15)</f>
        <v>1705347</v>
      </c>
      <c r="R16" s="30">
        <f>+SUM(R12,R14:R15)</f>
        <v>0</v>
      </c>
      <c r="S16" s="31">
        <f t="shared" si="2"/>
        <v>0.19275991861648017</v>
      </c>
      <c r="T16" s="27" t="str">
        <f t="shared" si="3"/>
        <v xml:space="preserve"> -</v>
      </c>
    </row>
  </sheetData>
  <mergeCells count="21">
    <mergeCell ref="B14:B15"/>
    <mergeCell ref="C14:C15"/>
    <mergeCell ref="D14:D15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6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165" t="s">
        <v>16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</row>
    <row r="3" spans="2:25" ht="20" customHeight="1">
      <c r="B3" s="165" t="s">
        <v>19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</row>
    <row r="4" spans="2:25" ht="20" customHeight="1">
      <c r="B4" s="165" t="s">
        <v>36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37</v>
      </c>
      <c r="C8" s="8">
        <f>+'2019'!C8</f>
        <v>43738</v>
      </c>
      <c r="D8" s="166" t="s">
        <v>3</v>
      </c>
      <c r="E8" s="167"/>
      <c r="F8" s="167"/>
      <c r="G8" s="167"/>
      <c r="H8" s="184"/>
      <c r="I8" s="184"/>
      <c r="J8" s="184"/>
      <c r="K8" s="184"/>
      <c r="L8" s="184"/>
      <c r="M8" s="184"/>
      <c r="N8" s="168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169" t="s">
        <v>17</v>
      </c>
      <c r="C9" s="172" t="s">
        <v>18</v>
      </c>
      <c r="D9" s="174" t="s">
        <v>0</v>
      </c>
      <c r="E9" s="177" t="s">
        <v>5</v>
      </c>
      <c r="F9" s="177"/>
      <c r="G9" s="177"/>
      <c r="H9" s="185"/>
      <c r="I9" s="185"/>
      <c r="J9" s="185"/>
      <c r="K9" s="185"/>
      <c r="L9" s="185"/>
      <c r="M9" s="185"/>
      <c r="N9" s="179"/>
      <c r="O9" s="186" t="s">
        <v>38</v>
      </c>
      <c r="P9" s="187"/>
      <c r="Q9" s="187"/>
      <c r="R9" s="187"/>
      <c r="S9" s="188"/>
      <c r="T9" s="151" t="s">
        <v>39</v>
      </c>
      <c r="U9" s="152"/>
      <c r="V9" s="152"/>
      <c r="W9" s="152"/>
      <c r="X9" s="152"/>
      <c r="Y9" s="153"/>
    </row>
    <row r="10" spans="2:25" ht="17" customHeight="1">
      <c r="B10" s="170"/>
      <c r="C10" s="173"/>
      <c r="D10" s="175"/>
      <c r="E10" s="178" t="s">
        <v>7</v>
      </c>
      <c r="F10" s="157" t="s">
        <v>25</v>
      </c>
      <c r="G10" s="62" t="s">
        <v>1</v>
      </c>
      <c r="H10" s="63" t="s">
        <v>1</v>
      </c>
      <c r="I10" s="65" t="s">
        <v>1</v>
      </c>
      <c r="J10" s="65" t="s">
        <v>1</v>
      </c>
      <c r="K10" s="79" t="s">
        <v>8</v>
      </c>
      <c r="L10" s="65" t="s">
        <v>8</v>
      </c>
      <c r="M10" s="65" t="s">
        <v>8</v>
      </c>
      <c r="N10" s="61" t="s">
        <v>8</v>
      </c>
      <c r="O10" s="191">
        <v>2016</v>
      </c>
      <c r="P10" s="195">
        <v>2017</v>
      </c>
      <c r="Q10" s="197">
        <v>2018</v>
      </c>
      <c r="R10" s="189">
        <v>2019</v>
      </c>
      <c r="S10" s="193" t="s">
        <v>37</v>
      </c>
      <c r="T10" s="154"/>
      <c r="U10" s="155"/>
      <c r="V10" s="155"/>
      <c r="W10" s="155"/>
      <c r="X10" s="155"/>
      <c r="Y10" s="156"/>
    </row>
    <row r="11" spans="2:25" ht="37.5" customHeight="1" thickBot="1">
      <c r="B11" s="171"/>
      <c r="C11" s="173"/>
      <c r="D11" s="176"/>
      <c r="E11" s="157"/>
      <c r="F11" s="158"/>
      <c r="G11" s="80">
        <v>2016</v>
      </c>
      <c r="H11" s="81">
        <v>2017</v>
      </c>
      <c r="I11" s="66">
        <v>2018</v>
      </c>
      <c r="J11" s="66">
        <v>2019</v>
      </c>
      <c r="K11" s="82">
        <v>2016</v>
      </c>
      <c r="L11" s="81">
        <v>2017</v>
      </c>
      <c r="M11" s="66">
        <v>2018</v>
      </c>
      <c r="N11" s="83">
        <v>2019</v>
      </c>
      <c r="O11" s="192"/>
      <c r="P11" s="196"/>
      <c r="Q11" s="198"/>
      <c r="R11" s="190"/>
      <c r="S11" s="194"/>
      <c r="T11" s="64" t="s">
        <v>23</v>
      </c>
      <c r="U11" s="22" t="s">
        <v>20</v>
      </c>
      <c r="V11" s="23" t="s">
        <v>21</v>
      </c>
      <c r="W11" s="24" t="s">
        <v>22</v>
      </c>
      <c r="X11" s="24" t="s">
        <v>14</v>
      </c>
      <c r="Y11" s="25" t="s">
        <v>15</v>
      </c>
    </row>
    <row r="12" spans="2:25" ht="46" thickBot="1">
      <c r="B12" s="49" t="s">
        <v>30</v>
      </c>
      <c r="C12" s="54" t="s">
        <v>31</v>
      </c>
      <c r="D12" s="50" t="s">
        <v>32</v>
      </c>
      <c r="E12" s="55" t="s">
        <v>27</v>
      </c>
      <c r="F12" s="42">
        <v>1</v>
      </c>
      <c r="G12" s="42">
        <f>'2016'!J12</f>
        <v>0</v>
      </c>
      <c r="H12" s="46">
        <f>'2017'!J12</f>
        <v>1</v>
      </c>
      <c r="I12" s="46">
        <f>'2018'!J12</f>
        <v>1</v>
      </c>
      <c r="J12" s="46">
        <f>'2019'!J12</f>
        <v>1</v>
      </c>
      <c r="K12" s="84">
        <f>'2016'!K12</f>
        <v>0</v>
      </c>
      <c r="L12" s="85">
        <f>'2017'!K12</f>
        <v>1</v>
      </c>
      <c r="M12" s="85">
        <f>'2018'!K12</f>
        <v>0.3</v>
      </c>
      <c r="N12" s="86">
        <f>'2019'!K12</f>
        <v>1</v>
      </c>
      <c r="O12" s="76" t="str">
        <f>'2016'!N12</f>
        <v xml:space="preserve"> -</v>
      </c>
      <c r="P12" s="77">
        <f>'2017'!N12</f>
        <v>1</v>
      </c>
      <c r="Q12" s="78">
        <f>'2018'!N12</f>
        <v>0.3</v>
      </c>
      <c r="R12" s="77">
        <f>'2019'!N12</f>
        <v>1</v>
      </c>
      <c r="S12" s="92">
        <v>0.76666666666666661</v>
      </c>
      <c r="T12" s="58" t="s">
        <v>57</v>
      </c>
      <c r="U12" s="38">
        <f>+'2016'!P12+'2017'!P12+'2018'!P12+'2019'!P12</f>
        <v>3341213</v>
      </c>
      <c r="V12" s="38">
        <f>+'2016'!Q12+'2017'!Q12+'2018'!Q12+'2019'!Q12</f>
        <v>995283</v>
      </c>
      <c r="W12" s="38">
        <f>+'2016'!R12+'2017'!R12+'2018'!R12+'2019'!R12</f>
        <v>618838</v>
      </c>
      <c r="X12" s="39">
        <f>IF(U12=0," -",V12/U12)</f>
        <v>0.29788073971937734</v>
      </c>
      <c r="Y12" s="40">
        <f>IF(W12=0," -",IF(V12=0,100%,W12/V12))</f>
        <v>0.6217708933037136</v>
      </c>
    </row>
    <row r="13" spans="2:25" ht="13" customHeight="1" thickBot="1">
      <c r="B13" s="9"/>
      <c r="C13" s="10"/>
      <c r="D13" s="10"/>
      <c r="E13" s="10"/>
      <c r="F13" s="12"/>
      <c r="G13" s="12"/>
      <c r="H13" s="12"/>
      <c r="I13" s="12"/>
      <c r="J13" s="12"/>
      <c r="K13" s="12"/>
      <c r="L13" s="12"/>
      <c r="M13" s="12"/>
      <c r="N13" s="12"/>
      <c r="O13" s="14"/>
      <c r="P13" s="14"/>
      <c r="Q13" s="14"/>
      <c r="R13" s="14"/>
      <c r="S13" s="93"/>
      <c r="T13" s="10"/>
      <c r="U13" s="12"/>
      <c r="V13" s="12"/>
      <c r="W13" s="12"/>
      <c r="X13" s="14"/>
      <c r="Y13" s="15"/>
    </row>
    <row r="14" spans="2:25" ht="30">
      <c r="B14" s="159" t="s">
        <v>33</v>
      </c>
      <c r="C14" s="161" t="s">
        <v>34</v>
      </c>
      <c r="D14" s="163" t="s">
        <v>35</v>
      </c>
      <c r="E14" s="44" t="s">
        <v>28</v>
      </c>
      <c r="F14" s="45">
        <v>4</v>
      </c>
      <c r="G14" s="45">
        <f>'2016'!J14</f>
        <v>1</v>
      </c>
      <c r="H14" s="47">
        <f>'2017'!J14</f>
        <v>1</v>
      </c>
      <c r="I14" s="47">
        <f>'2018'!J14</f>
        <v>1</v>
      </c>
      <c r="J14" s="47">
        <f>'2019'!J14</f>
        <v>1</v>
      </c>
      <c r="K14" s="87">
        <f>'2016'!K14</f>
        <v>1</v>
      </c>
      <c r="L14" s="88">
        <f>'2017'!K14</f>
        <v>1</v>
      </c>
      <c r="M14" s="88">
        <f>'2018'!K14</f>
        <v>1</v>
      </c>
      <c r="N14" s="89">
        <f>'2019'!K14</f>
        <v>1</v>
      </c>
      <c r="O14" s="70">
        <f>'2016'!N14</f>
        <v>1</v>
      </c>
      <c r="P14" s="71">
        <f>'2017'!N14</f>
        <v>1</v>
      </c>
      <c r="Q14" s="72">
        <f>'2018'!N14</f>
        <v>1</v>
      </c>
      <c r="R14" s="71">
        <f>'2019'!N14</f>
        <v>1</v>
      </c>
      <c r="S14" s="94">
        <v>1</v>
      </c>
      <c r="T14" s="59" t="s">
        <v>58</v>
      </c>
      <c r="U14" s="32">
        <f>+'2016'!P14+'2017'!P14+'2018'!P14+'2019'!P14</f>
        <v>31142545</v>
      </c>
      <c r="V14" s="32">
        <f>+'2016'!Q14+'2017'!Q14+'2018'!Q14+'2019'!Q14</f>
        <v>11661610</v>
      </c>
      <c r="W14" s="32">
        <f>+'2016'!R14+'2017'!R14+'2018'!R14+'2019'!R14</f>
        <v>684901</v>
      </c>
      <c r="X14" s="18">
        <f t="shared" ref="X14:X16" si="0">IF(U14=0," -",V14/U14)</f>
        <v>0.37445912015219052</v>
      </c>
      <c r="Y14" s="17">
        <f t="shared" ref="Y14:Y16" si="1">IF(W14=0," -",IF(V14=0,100%,W14/V14))</f>
        <v>5.8731255804301462E-2</v>
      </c>
    </row>
    <row r="15" spans="2:25" ht="31" thickBot="1">
      <c r="B15" s="160"/>
      <c r="C15" s="162"/>
      <c r="D15" s="164"/>
      <c r="E15" s="34" t="s">
        <v>29</v>
      </c>
      <c r="F15" s="35">
        <v>72</v>
      </c>
      <c r="G15" s="35">
        <f>'2016'!J15</f>
        <v>0</v>
      </c>
      <c r="H15" s="48">
        <f>'2017'!J15</f>
        <v>24</v>
      </c>
      <c r="I15" s="48">
        <f>'2018'!J15</f>
        <v>24</v>
      </c>
      <c r="J15" s="48">
        <f>'2019'!J15</f>
        <v>24</v>
      </c>
      <c r="K15" s="90">
        <f>'2016'!K15</f>
        <v>0</v>
      </c>
      <c r="L15" s="48">
        <f>'2017'!K15</f>
        <v>2</v>
      </c>
      <c r="M15" s="48">
        <f>'2018'!K15</f>
        <v>88</v>
      </c>
      <c r="N15" s="91">
        <f>'2019'!K15</f>
        <v>120</v>
      </c>
      <c r="O15" s="73" t="str">
        <f>'2016'!N15</f>
        <v xml:space="preserve"> -</v>
      </c>
      <c r="P15" s="74">
        <f>'2017'!N15</f>
        <v>8.3333333333333329E-2</v>
      </c>
      <c r="Q15" s="75">
        <f>'2018'!N15</f>
        <v>1</v>
      </c>
      <c r="R15" s="74">
        <f>'2019'!N15</f>
        <v>1</v>
      </c>
      <c r="S15" s="95">
        <v>1</v>
      </c>
      <c r="T15" s="60">
        <v>22121</v>
      </c>
      <c r="U15" s="35">
        <f>+'2016'!P15+'2017'!P15+'2018'!P15+'2019'!P15</f>
        <v>385000</v>
      </c>
      <c r="V15" s="35">
        <f>+'2016'!Q15+'2017'!Q15+'2018'!Q15+'2019'!Q15</f>
        <v>173035</v>
      </c>
      <c r="W15" s="35">
        <f>+'2016'!R15+'2017'!R15+'2018'!R15+'2019'!R15</f>
        <v>0</v>
      </c>
      <c r="X15" s="36">
        <f t="shared" si="0"/>
        <v>0.44944155844155842</v>
      </c>
      <c r="Y15" s="37" t="str">
        <f t="shared" si="1"/>
        <v xml:space="preserve"> -</v>
      </c>
    </row>
    <row r="16" spans="2:25" ht="21" customHeight="1" thickBot="1">
      <c r="O16" s="68">
        <f>+AVERAGE(O12,O14:O15)</f>
        <v>1</v>
      </c>
      <c r="P16" s="67">
        <f t="shared" ref="P16:R16" si="2">+AVERAGE(P12,P14:P15)</f>
        <v>0.69444444444444453</v>
      </c>
      <c r="Q16" s="67">
        <f t="shared" si="2"/>
        <v>0.76666666666666661</v>
      </c>
      <c r="R16" s="67">
        <f t="shared" si="2"/>
        <v>1</v>
      </c>
      <c r="S16" s="69">
        <f>+AVERAGE(S12,S14:S15)</f>
        <v>0.92222222222222217</v>
      </c>
      <c r="T16" s="28"/>
      <c r="U16" s="29">
        <f>+SUM(U12,U14:U15)</f>
        <v>34868758</v>
      </c>
      <c r="V16" s="30">
        <f>+SUM(V12,V14:V15)</f>
        <v>12829928</v>
      </c>
      <c r="W16" s="30">
        <f>+SUM(W12,W14:W15)</f>
        <v>1303739</v>
      </c>
      <c r="X16" s="31">
        <f t="shared" si="0"/>
        <v>0.36794909643756168</v>
      </c>
      <c r="Y16" s="27">
        <f t="shared" si="1"/>
        <v>0.1016170160892563</v>
      </c>
    </row>
  </sheetData>
  <mergeCells count="20">
    <mergeCell ref="B14:B15"/>
    <mergeCell ref="C14:C15"/>
    <mergeCell ref="D14:D15"/>
    <mergeCell ref="P10:P11"/>
    <mergeCell ref="Q10:Q11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R10:R11"/>
    <mergeCell ref="T9:Y10"/>
    <mergeCell ref="E10:E11"/>
    <mergeCell ref="F10:F11"/>
    <mergeCell ref="O10:O11"/>
    <mergeCell ref="S10:S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7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207" t="s">
        <v>56</v>
      </c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9"/>
    </row>
    <row r="4" spans="2:15" ht="16" thickBot="1">
      <c r="C4" s="96"/>
      <c r="D4" s="96"/>
      <c r="E4" s="96"/>
      <c r="F4" s="96"/>
      <c r="G4" s="96"/>
      <c r="H4" s="96"/>
      <c r="I4" s="96"/>
    </row>
    <row r="5" spans="2:15" ht="19" customHeight="1">
      <c r="C5" s="96"/>
      <c r="D5" s="96"/>
      <c r="E5" s="210" t="s">
        <v>40</v>
      </c>
      <c r="F5" s="211"/>
      <c r="G5" s="211"/>
      <c r="H5" s="211"/>
      <c r="I5" s="214" t="s">
        <v>38</v>
      </c>
      <c r="J5" s="215"/>
      <c r="K5" s="218" t="s">
        <v>41</v>
      </c>
      <c r="L5" s="219"/>
      <c r="M5" s="219"/>
      <c r="N5" s="219"/>
      <c r="O5" s="220"/>
    </row>
    <row r="6" spans="2:15" ht="19" customHeight="1" thickBot="1">
      <c r="E6" s="212"/>
      <c r="F6" s="213"/>
      <c r="G6" s="213"/>
      <c r="H6" s="213"/>
      <c r="I6" s="216"/>
      <c r="J6" s="217"/>
      <c r="K6" s="221" t="s">
        <v>37</v>
      </c>
      <c r="L6" s="222"/>
      <c r="M6" s="222"/>
      <c r="N6" s="222"/>
      <c r="O6" s="223"/>
    </row>
    <row r="7" spans="2:15" ht="32" customHeight="1" thickBot="1">
      <c r="C7" s="228"/>
      <c r="D7" s="229"/>
      <c r="E7" s="97">
        <v>2016</v>
      </c>
      <c r="F7" s="98">
        <v>2017</v>
      </c>
      <c r="G7" s="98">
        <v>2018</v>
      </c>
      <c r="H7" s="98">
        <v>2019</v>
      </c>
      <c r="I7" s="199" t="s">
        <v>37</v>
      </c>
      <c r="J7" s="200"/>
      <c r="K7" s="141" t="s">
        <v>42</v>
      </c>
      <c r="L7" s="142" t="s">
        <v>43</v>
      </c>
      <c r="M7" s="142" t="s">
        <v>44</v>
      </c>
      <c r="N7" s="142" t="s">
        <v>45</v>
      </c>
      <c r="O7" s="143" t="s">
        <v>46</v>
      </c>
    </row>
    <row r="8" spans="2:15" ht="22" customHeight="1" thickBot="1">
      <c r="B8" s="99">
        <v>1</v>
      </c>
      <c r="C8" s="201" t="s">
        <v>47</v>
      </c>
      <c r="D8" s="202"/>
      <c r="E8" s="100" t="str">
        <f>+IF('2016 - 2019'!G12&gt;0,'2016 - 2019'!O12," -")</f>
        <v xml:space="preserve"> -</v>
      </c>
      <c r="F8" s="100">
        <f>+IF('2016 - 2019'!H12&gt;0,'2016 - 2019'!P12," -")</f>
        <v>1</v>
      </c>
      <c r="G8" s="100">
        <f>+IF('2016 - 2019'!I12&gt;0,'2016 - 2019'!Q12," -")</f>
        <v>0.3</v>
      </c>
      <c r="H8" s="100">
        <f>+IF('2016 - 2019'!J12&gt;0,'2016 - 2019'!R12," -")</f>
        <v>1</v>
      </c>
      <c r="I8" s="101">
        <f>+'2016 - 2019'!S12</f>
        <v>0.76666666666666661</v>
      </c>
      <c r="J8" s="102">
        <f t="shared" ref="J8:J13" si="0">+I8</f>
        <v>0.76666666666666661</v>
      </c>
      <c r="K8" s="103">
        <f>+K9</f>
        <v>3341213</v>
      </c>
      <c r="L8" s="104">
        <f t="shared" ref="L8:M9" si="1">+L9</f>
        <v>995283</v>
      </c>
      <c r="M8" s="104">
        <f t="shared" si="1"/>
        <v>618838</v>
      </c>
      <c r="N8" s="105">
        <f t="shared" ref="N8:N13" si="2">IF(K8=0,"-",+L8/K8)</f>
        <v>0.29788073971937734</v>
      </c>
      <c r="O8" s="106">
        <f>IF(M8=0," -",IF(L8=0,100%,M8/L8))</f>
        <v>0.6217708933037136</v>
      </c>
    </row>
    <row r="9" spans="2:15" ht="20" customHeight="1">
      <c r="B9" s="107" t="s">
        <v>48</v>
      </c>
      <c r="C9" s="203" t="s">
        <v>31</v>
      </c>
      <c r="D9" s="204"/>
      <c r="E9" s="116" t="str">
        <f>+IF('2016 - 2019'!G12&gt;0,'2016 - 2019'!O12," -")</f>
        <v xml:space="preserve"> -</v>
      </c>
      <c r="F9" s="116">
        <f>+IF('2016 - 2019'!H12&gt;0,'2016 - 2019'!P12," -")</f>
        <v>1</v>
      </c>
      <c r="G9" s="116">
        <f>+IF('2016 - 2019'!I12&gt;0,'2016 - 2019'!Q12," -")</f>
        <v>0.3</v>
      </c>
      <c r="H9" s="116">
        <f>+IF('2016 - 2019'!J12&gt;0,'2016 - 2019'!R12," -")</f>
        <v>1</v>
      </c>
      <c r="I9" s="117">
        <f>+'2016 - 2019'!S12</f>
        <v>0.76666666666666661</v>
      </c>
      <c r="J9" s="118">
        <f t="shared" si="0"/>
        <v>0.76666666666666661</v>
      </c>
      <c r="K9" s="119">
        <f>+K10</f>
        <v>3341213</v>
      </c>
      <c r="L9" s="120">
        <f t="shared" si="1"/>
        <v>995283</v>
      </c>
      <c r="M9" s="120">
        <f t="shared" si="1"/>
        <v>618838</v>
      </c>
      <c r="N9" s="121">
        <f t="shared" si="2"/>
        <v>0.29788073971937734</v>
      </c>
      <c r="O9" s="122">
        <f t="shared" ref="O9:O13" si="3">IF(M9=0," -",IF(L9=0,100%,M9/L9))</f>
        <v>0.6217708933037136</v>
      </c>
    </row>
    <row r="10" spans="2:15" ht="18" customHeight="1" thickBot="1">
      <c r="B10" s="108" t="s">
        <v>49</v>
      </c>
      <c r="C10" s="205" t="s">
        <v>50</v>
      </c>
      <c r="D10" s="206"/>
      <c r="E10" s="109" t="str">
        <f>+IF('2016 - 2019'!G12&gt;0,'2016 - 2019'!O12," -")</f>
        <v xml:space="preserve"> -</v>
      </c>
      <c r="F10" s="109">
        <f>+IF('2016 - 2019'!H12&gt;0,'2016 - 2019'!P12," -")</f>
        <v>1</v>
      </c>
      <c r="G10" s="109">
        <f>+IF('2016 - 2019'!I12&gt;0,'2016 - 2019'!Q12," -")</f>
        <v>0.3</v>
      </c>
      <c r="H10" s="109">
        <f>+IF('2016 - 2019'!J12&gt;0,'2016 - 2019'!R12," -")</f>
        <v>1</v>
      </c>
      <c r="I10" s="110">
        <f>+'2016 - 2019'!S12</f>
        <v>0.76666666666666661</v>
      </c>
      <c r="J10" s="111">
        <f t="shared" si="0"/>
        <v>0.76666666666666661</v>
      </c>
      <c r="K10" s="112">
        <f>+'2016 - 2019'!U12</f>
        <v>3341213</v>
      </c>
      <c r="L10" s="113">
        <f>+'2016 - 2019'!V12</f>
        <v>995283</v>
      </c>
      <c r="M10" s="113">
        <f>+'2016 - 2019'!W12</f>
        <v>618838</v>
      </c>
      <c r="N10" s="114">
        <f t="shared" si="2"/>
        <v>0.29788073971937734</v>
      </c>
      <c r="O10" s="115">
        <f t="shared" si="3"/>
        <v>0.6217708933037136</v>
      </c>
    </row>
    <row r="11" spans="2:15" ht="22" customHeight="1" thickBot="1">
      <c r="B11" s="99">
        <v>3</v>
      </c>
      <c r="C11" s="224" t="s">
        <v>51</v>
      </c>
      <c r="D11" s="225"/>
      <c r="E11" s="123">
        <f>+IF(SUM('2016 - 2019'!G14:G15)&gt;0,AVERAGE('2016 - 2019'!O14:O15)," -")</f>
        <v>1</v>
      </c>
      <c r="F11" s="123">
        <f>+IF(SUM('2016 - 2019'!H14:H15)&gt;0,AVERAGE('2016 - 2019'!P14:P15)," -")</f>
        <v>0.54166666666666663</v>
      </c>
      <c r="G11" s="123">
        <f>+IF(SUM('2016 - 2019'!I14:I15)&gt;0,AVERAGE('2016 - 2019'!Q14:Q15)," -")</f>
        <v>1</v>
      </c>
      <c r="H11" s="123">
        <f>+IF(SUM('2016 - 2019'!J14:J15)&gt;0,AVERAGE('2016 - 2019'!R14:R15)," -")</f>
        <v>1</v>
      </c>
      <c r="I11" s="124">
        <f>+AVERAGE('2016 - 2019'!S14:S15)</f>
        <v>1</v>
      </c>
      <c r="J11" s="125">
        <f t="shared" si="0"/>
        <v>1</v>
      </c>
      <c r="K11" s="126">
        <f>+K13</f>
        <v>31527545</v>
      </c>
      <c r="L11" s="127">
        <f t="shared" ref="L11:M11" si="4">+L13</f>
        <v>11834645</v>
      </c>
      <c r="M11" s="127">
        <f t="shared" si="4"/>
        <v>684901</v>
      </c>
      <c r="N11" s="128">
        <f t="shared" si="2"/>
        <v>0.37537477148950227</v>
      </c>
      <c r="O11" s="129">
        <f t="shared" si="3"/>
        <v>5.7872542860389981E-2</v>
      </c>
    </row>
    <row r="12" spans="2:15" ht="20" customHeight="1">
      <c r="B12" s="107" t="s">
        <v>52</v>
      </c>
      <c r="C12" s="203" t="s">
        <v>34</v>
      </c>
      <c r="D12" s="204"/>
      <c r="E12" s="116">
        <f>+IF(SUM('2016 - 2019'!G14:G15)&gt;0,AVERAGE('2016 - 2019'!O14:O15)," -")</f>
        <v>1</v>
      </c>
      <c r="F12" s="116">
        <f>+IF(SUM('2016 - 2019'!H14:H15)&gt;0,AVERAGE('2016 - 2019'!P14:P15)," -")</f>
        <v>0.54166666666666663</v>
      </c>
      <c r="G12" s="116">
        <f>+IF(SUM('2016 - 2019'!I14:I15)&gt;0,AVERAGE('2016 - 2019'!Q14:Q15)," -")</f>
        <v>1</v>
      </c>
      <c r="H12" s="116">
        <f>+IF(SUM('2016 - 2019'!J14:J15)&gt;0,AVERAGE('2016 - 2019'!R14:R15)," -")</f>
        <v>1</v>
      </c>
      <c r="I12" s="117">
        <f>+AVERAGE('2016 - 2019'!S14:S15)</f>
        <v>1</v>
      </c>
      <c r="J12" s="118">
        <f t="shared" si="0"/>
        <v>1</v>
      </c>
      <c r="K12" s="119">
        <f>+K13</f>
        <v>31527545</v>
      </c>
      <c r="L12" s="120">
        <f t="shared" ref="L12:M12" si="5">+L13</f>
        <v>11834645</v>
      </c>
      <c r="M12" s="120">
        <f t="shared" si="5"/>
        <v>684901</v>
      </c>
      <c r="N12" s="121">
        <f t="shared" si="2"/>
        <v>0.37537477148950227</v>
      </c>
      <c r="O12" s="122">
        <f t="shared" si="3"/>
        <v>5.7872542860389981E-2</v>
      </c>
    </row>
    <row r="13" spans="2:15" ht="18" customHeight="1" thickBot="1">
      <c r="B13" s="108" t="s">
        <v>53</v>
      </c>
      <c r="C13" s="205" t="s">
        <v>54</v>
      </c>
      <c r="D13" s="206"/>
      <c r="E13" s="109">
        <f>+IF(SUM('2016 - 2019'!G14:G15)&gt;0,AVERAGE('2016 - 2019'!O14:O15)," -")</f>
        <v>1</v>
      </c>
      <c r="F13" s="109">
        <f>+IF(SUM('2016 - 2019'!H14:H15)&gt;0,AVERAGE('2016 - 2019'!P14:P15)," -")</f>
        <v>0.54166666666666663</v>
      </c>
      <c r="G13" s="109">
        <f>+IF(SUM('2016 - 2019'!I14:I15)&gt;0,AVERAGE('2016 - 2019'!Q14:Q15)," -")</f>
        <v>1</v>
      </c>
      <c r="H13" s="109">
        <f>+IF(SUM('2016 - 2019'!J14:J15)&gt;0,AVERAGE('2016 - 2019'!R14:R15)," -")</f>
        <v>1</v>
      </c>
      <c r="I13" s="110">
        <f>+AVERAGE('2016 - 2019'!S14:S15)</f>
        <v>1</v>
      </c>
      <c r="J13" s="111">
        <f t="shared" si="0"/>
        <v>1</v>
      </c>
      <c r="K13" s="144">
        <f>+SUM('2016 - 2019'!U14:U15)</f>
        <v>31527545</v>
      </c>
      <c r="L13" s="35">
        <f>+SUM('2016 - 2019'!V14:V15)</f>
        <v>11834645</v>
      </c>
      <c r="M13" s="35">
        <f>+SUM('2016 - 2019'!W14:W15)</f>
        <v>684901</v>
      </c>
      <c r="N13" s="114">
        <f t="shared" si="2"/>
        <v>0.37537477148950227</v>
      </c>
      <c r="O13" s="115">
        <f t="shared" si="3"/>
        <v>5.7872542860389981E-2</v>
      </c>
    </row>
    <row r="14" spans="2:15" ht="24" customHeight="1" thickBot="1">
      <c r="C14" s="226" t="s">
        <v>55</v>
      </c>
      <c r="D14" s="227"/>
      <c r="E14" s="130">
        <f>+'2016 - 2019'!O16</f>
        <v>1</v>
      </c>
      <c r="F14" s="130">
        <f>+'2016 - 2019'!P16</f>
        <v>0.69444444444444453</v>
      </c>
      <c r="G14" s="130">
        <f>+'2016 - 2019'!Q16</f>
        <v>0.76666666666666661</v>
      </c>
      <c r="H14" s="130">
        <f>+'2016 - 2019'!R16</f>
        <v>1</v>
      </c>
      <c r="I14" s="131">
        <f>+'2016 - 2019'!S16</f>
        <v>0.92222222222222217</v>
      </c>
      <c r="J14" s="132">
        <f t="shared" ref="J14" si="6">+I14</f>
        <v>0.92222222222222217</v>
      </c>
      <c r="K14" s="133">
        <f>+K8+K11</f>
        <v>34868758</v>
      </c>
      <c r="L14" s="134">
        <f>+L8+L11</f>
        <v>12829928</v>
      </c>
      <c r="M14" s="134">
        <f>+M8+M11</f>
        <v>1303739</v>
      </c>
      <c r="N14" s="135">
        <f t="shared" ref="N14" si="7">IF(K14=0,"-",+L14/K14)</f>
        <v>0.36794909643756168</v>
      </c>
      <c r="O14" s="136">
        <f t="shared" ref="O14" si="8">IF(M14=0," -",IF(L14=0,100%,M14/L14))</f>
        <v>0.1016170160892563</v>
      </c>
    </row>
    <row r="16" spans="2:15" ht="17">
      <c r="C16" s="137" t="str">
        <f>+'2016 - 2019'!C7</f>
        <v>FECHA CORTE</v>
      </c>
      <c r="D16" s="138"/>
      <c r="E16" s="139"/>
      <c r="F16" s="139"/>
      <c r="I16" s="146" t="s">
        <v>59</v>
      </c>
    </row>
    <row r="17" spans="3:3" ht="17">
      <c r="C17" s="140">
        <f>+'2016 - 2019'!C8</f>
        <v>43738</v>
      </c>
    </row>
  </sheetData>
  <mergeCells count="14">
    <mergeCell ref="C11:D11"/>
    <mergeCell ref="C12:D12"/>
    <mergeCell ref="C13:D13"/>
    <mergeCell ref="C14:D14"/>
    <mergeCell ref="C7:D7"/>
    <mergeCell ref="I7:J7"/>
    <mergeCell ref="C8:D8"/>
    <mergeCell ref="C9:D9"/>
    <mergeCell ref="C10:D10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14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{6C132A3E-6AC4-8847-8F40-D05BA60A9532}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C132A3E-6AC4-8847-8F40-D05BA60A9532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E8:H14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2019-10-08T13:44:01Z</dcterms:modified>
</cp:coreProperties>
</file>