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W12" i="11"/>
  <c r="W13" i="11"/>
  <c r="W14" i="11"/>
  <c r="W15" i="11"/>
  <c r="M10" i="12"/>
  <c r="M9" i="12"/>
  <c r="W17" i="11"/>
  <c r="W18" i="11"/>
  <c r="W19" i="11"/>
  <c r="W20" i="11"/>
  <c r="W21" i="11"/>
  <c r="M12" i="12"/>
  <c r="M11" i="12"/>
  <c r="M8" i="12"/>
  <c r="W23" i="11"/>
  <c r="M15" i="12"/>
  <c r="M14" i="12"/>
  <c r="M13" i="12"/>
  <c r="M16" i="12"/>
  <c r="V12" i="11"/>
  <c r="V13" i="11"/>
  <c r="V14" i="11"/>
  <c r="V15" i="11"/>
  <c r="L10" i="12"/>
  <c r="L9" i="12"/>
  <c r="V17" i="11"/>
  <c r="V18" i="11"/>
  <c r="V19" i="11"/>
  <c r="V20" i="11"/>
  <c r="V21" i="11"/>
  <c r="L12" i="12"/>
  <c r="L11" i="12"/>
  <c r="L8" i="12"/>
  <c r="V23" i="11"/>
  <c r="L15" i="12"/>
  <c r="L14" i="12"/>
  <c r="L13" i="12"/>
  <c r="L16" i="12"/>
  <c r="U19" i="11"/>
  <c r="U20" i="11"/>
  <c r="U21" i="11"/>
  <c r="U17" i="11"/>
  <c r="U18" i="11"/>
  <c r="K12" i="12"/>
  <c r="K11" i="12"/>
  <c r="U12" i="11"/>
  <c r="U13" i="11"/>
  <c r="U14" i="11"/>
  <c r="U15" i="11"/>
  <c r="K10" i="12"/>
  <c r="K9" i="12"/>
  <c r="K8" i="12"/>
  <c r="U23" i="11"/>
  <c r="K15" i="12"/>
  <c r="K14" i="12"/>
  <c r="K13" i="12"/>
  <c r="K16" i="12"/>
  <c r="I12" i="12"/>
  <c r="I11" i="12"/>
  <c r="I10" i="12"/>
  <c r="I9" i="12"/>
  <c r="I8" i="12"/>
  <c r="I15" i="12"/>
  <c r="I14" i="12"/>
  <c r="I13" i="12"/>
  <c r="S24" i="11"/>
  <c r="I16" i="12"/>
  <c r="L12" i="10"/>
  <c r="N12" i="10"/>
  <c r="R12" i="11"/>
  <c r="L13" i="10"/>
  <c r="N13" i="10"/>
  <c r="R13" i="11"/>
  <c r="L14" i="10"/>
  <c r="N14" i="10"/>
  <c r="R14" i="11"/>
  <c r="L15" i="10"/>
  <c r="N15" i="10"/>
  <c r="R15" i="11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N23" i="10"/>
  <c r="R23" i="11"/>
  <c r="R24" i="11"/>
  <c r="H16" i="12"/>
  <c r="L12" i="9"/>
  <c r="N12" i="9"/>
  <c r="Q12" i="11"/>
  <c r="L13" i="9"/>
  <c r="N13" i="9"/>
  <c r="Q13" i="11"/>
  <c r="L14" i="9"/>
  <c r="N14" i="9"/>
  <c r="Q14" i="11"/>
  <c r="L15" i="9"/>
  <c r="N15" i="9"/>
  <c r="Q15" i="11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N23" i="9"/>
  <c r="Q23" i="11"/>
  <c r="Q24" i="11"/>
  <c r="G16" i="12"/>
  <c r="L12" i="8"/>
  <c r="N12" i="8"/>
  <c r="P12" i="11"/>
  <c r="L13" i="8"/>
  <c r="N13" i="8"/>
  <c r="P13" i="11"/>
  <c r="L14" i="8"/>
  <c r="N14" i="8"/>
  <c r="P14" i="11"/>
  <c r="L15" i="8"/>
  <c r="N15" i="8"/>
  <c r="P15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P24" i="11"/>
  <c r="F16" i="12"/>
  <c r="E16" i="12"/>
  <c r="H12" i="11"/>
  <c r="H13" i="11"/>
  <c r="H14" i="11"/>
  <c r="H15" i="11"/>
  <c r="H17" i="11"/>
  <c r="H18" i="11"/>
  <c r="H19" i="11"/>
  <c r="H20" i="11"/>
  <c r="H21" i="11"/>
  <c r="F8" i="12"/>
  <c r="I12" i="11"/>
  <c r="I13" i="11"/>
  <c r="I14" i="11"/>
  <c r="I15" i="11"/>
  <c r="I17" i="11"/>
  <c r="I18" i="11"/>
  <c r="I19" i="11"/>
  <c r="I20" i="11"/>
  <c r="I21" i="11"/>
  <c r="G8" i="12"/>
  <c r="J12" i="11"/>
  <c r="J13" i="11"/>
  <c r="J14" i="11"/>
  <c r="J15" i="11"/>
  <c r="J17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H23" i="11"/>
  <c r="F13" i="12"/>
  <c r="I23" i="11"/>
  <c r="G13" i="12"/>
  <c r="J23" i="11"/>
  <c r="H13" i="12"/>
  <c r="F14" i="12"/>
  <c r="G14" i="12"/>
  <c r="H14" i="12"/>
  <c r="F15" i="12"/>
  <c r="G15" i="12"/>
  <c r="H15" i="12"/>
  <c r="E15" i="12"/>
  <c r="E14" i="12"/>
  <c r="G23" i="11"/>
  <c r="E13" i="12"/>
  <c r="G18" i="11"/>
  <c r="G19" i="11"/>
  <c r="G20" i="11"/>
  <c r="G21" i="11"/>
  <c r="E12" i="12"/>
  <c r="G17" i="11"/>
  <c r="E11" i="12"/>
  <c r="G13" i="11"/>
  <c r="G14" i="11"/>
  <c r="G15" i="11"/>
  <c r="E10" i="12"/>
  <c r="G12" i="11"/>
  <c r="E9" i="12"/>
  <c r="E8" i="12"/>
  <c r="C19" i="12"/>
  <c r="C18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24" i="10"/>
  <c r="N24" i="9"/>
  <c r="N24" i="8"/>
  <c r="L17" i="11"/>
  <c r="L18" i="11"/>
  <c r="K13" i="11"/>
  <c r="L13" i="11"/>
  <c r="M13" i="11"/>
  <c r="N13" i="11"/>
  <c r="K14" i="11"/>
  <c r="L14" i="11"/>
  <c r="M14" i="11"/>
  <c r="N14" i="11"/>
  <c r="K15" i="11"/>
  <c r="L15" i="11"/>
  <c r="M15" i="11"/>
  <c r="N15" i="11"/>
  <c r="K17" i="11"/>
  <c r="M17" i="11"/>
  <c r="N17" i="11"/>
  <c r="K18" i="11"/>
  <c r="M18" i="11"/>
  <c r="N18" i="11"/>
  <c r="K19" i="11"/>
  <c r="L19" i="11"/>
  <c r="M19" i="11"/>
  <c r="N19" i="11"/>
  <c r="K20" i="11"/>
  <c r="L20" i="11"/>
  <c r="M20" i="11"/>
  <c r="N20" i="11"/>
  <c r="K21" i="11"/>
  <c r="L21" i="11"/>
  <c r="M21" i="11"/>
  <c r="N21" i="11"/>
  <c r="K23" i="11"/>
  <c r="L23" i="11"/>
  <c r="M23" i="11"/>
  <c r="N23" i="11"/>
  <c r="K12" i="11"/>
  <c r="L12" i="11"/>
  <c r="M12" i="11"/>
  <c r="N12" i="11"/>
  <c r="N12" i="7"/>
  <c r="O12" i="11"/>
  <c r="N13" i="7"/>
  <c r="O13" i="11"/>
  <c r="N14" i="7"/>
  <c r="O14" i="11"/>
  <c r="N15" i="7"/>
  <c r="O15" i="11"/>
  <c r="N17" i="7"/>
  <c r="O17" i="11"/>
  <c r="N18" i="7"/>
  <c r="O18" i="11"/>
  <c r="N19" i="7"/>
  <c r="O19" i="11"/>
  <c r="N20" i="7"/>
  <c r="O20" i="11"/>
  <c r="N21" i="7"/>
  <c r="O21" i="11"/>
  <c r="N23" i="7"/>
  <c r="O23" i="11"/>
  <c r="W24" i="11"/>
  <c r="Y24" i="11"/>
  <c r="U24" i="11"/>
  <c r="V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5" i="11"/>
  <c r="X15" i="11"/>
  <c r="Y14" i="11"/>
  <c r="X14" i="11"/>
  <c r="Y13" i="11"/>
  <c r="X13" i="11"/>
  <c r="Y12" i="11"/>
  <c r="X12" i="11"/>
  <c r="I23" i="8"/>
  <c r="I21" i="8"/>
  <c r="I20" i="8"/>
  <c r="I17" i="8"/>
  <c r="I14" i="8"/>
  <c r="I15" i="8"/>
  <c r="I13" i="8"/>
  <c r="I12" i="8"/>
  <c r="R24" i="10"/>
  <c r="T24" i="10"/>
  <c r="P24" i="10"/>
  <c r="S24" i="10"/>
  <c r="Q24" i="10"/>
  <c r="M24" i="10"/>
  <c r="R24" i="9"/>
  <c r="T24" i="9"/>
  <c r="P24" i="9"/>
  <c r="Q24" i="9"/>
  <c r="S24" i="9"/>
  <c r="M12" i="9"/>
  <c r="M13" i="9"/>
  <c r="M14" i="9"/>
  <c r="M15" i="9"/>
  <c r="M17" i="9"/>
  <c r="M18" i="9"/>
  <c r="M19" i="9"/>
  <c r="M20" i="9"/>
  <c r="M21" i="9"/>
  <c r="M23" i="9"/>
  <c r="M24" i="9"/>
  <c r="R24" i="8"/>
  <c r="T24" i="8"/>
  <c r="P24" i="8"/>
  <c r="Q24" i="8"/>
  <c r="S24" i="8"/>
  <c r="M12" i="8"/>
  <c r="M13" i="8"/>
  <c r="M14" i="8"/>
  <c r="M15" i="8"/>
  <c r="M17" i="8"/>
  <c r="M18" i="8"/>
  <c r="M19" i="8"/>
  <c r="M20" i="8"/>
  <c r="M21" i="8"/>
  <c r="M23" i="8"/>
  <c r="M24" i="8"/>
  <c r="R24" i="7"/>
  <c r="T24" i="7"/>
  <c r="P24" i="7"/>
  <c r="Q24" i="7"/>
  <c r="S24" i="7"/>
  <c r="L12" i="7"/>
  <c r="L13" i="7"/>
  <c r="L14" i="7"/>
  <c r="L15" i="7"/>
  <c r="L18" i="7"/>
  <c r="L20" i="7"/>
  <c r="L21" i="7"/>
  <c r="L23" i="7"/>
  <c r="M12" i="7"/>
  <c r="M13" i="7"/>
  <c r="M14" i="7"/>
  <c r="M15" i="7"/>
  <c r="M17" i="7"/>
  <c r="M18" i="7"/>
  <c r="M19" i="7"/>
  <c r="M20" i="7"/>
  <c r="M21" i="7"/>
  <c r="M23" i="7"/>
  <c r="M24" i="7"/>
  <c r="I19" i="10"/>
  <c r="I18" i="10"/>
  <c r="I13" i="9"/>
  <c r="I13" i="10"/>
  <c r="I14" i="9"/>
  <c r="I14" i="10"/>
  <c r="I15" i="9"/>
  <c r="I15" i="10"/>
  <c r="I17" i="9"/>
  <c r="I17" i="10"/>
  <c r="I20" i="9"/>
  <c r="I20" i="10"/>
  <c r="I21" i="9"/>
  <c r="I21" i="10"/>
  <c r="I23" i="9"/>
  <c r="I23" i="10"/>
  <c r="I19" i="9"/>
  <c r="I18" i="9"/>
  <c r="I19" i="8"/>
  <c r="I18" i="8"/>
  <c r="I12" i="9"/>
  <c r="I12" i="10"/>
  <c r="T23" i="10"/>
  <c r="S23" i="10"/>
  <c r="M23" i="10"/>
  <c r="L23" i="10"/>
  <c r="T21" i="10"/>
  <c r="S21" i="10"/>
  <c r="M21" i="10"/>
  <c r="T20" i="10"/>
  <c r="S20" i="10"/>
  <c r="M20" i="10"/>
  <c r="T19" i="10"/>
  <c r="S19" i="10"/>
  <c r="M19" i="10"/>
  <c r="T18" i="10"/>
  <c r="S18" i="10"/>
  <c r="M18" i="10"/>
  <c r="T17" i="10"/>
  <c r="S17" i="10"/>
  <c r="M17" i="10"/>
  <c r="L17" i="10"/>
  <c r="T15" i="10"/>
  <c r="S15" i="10"/>
  <c r="M15" i="10"/>
  <c r="T14" i="10"/>
  <c r="S14" i="10"/>
  <c r="M14" i="10"/>
  <c r="T13" i="10"/>
  <c r="S13" i="10"/>
  <c r="M13" i="10"/>
  <c r="T12" i="10"/>
  <c r="S12" i="10"/>
  <c r="M12" i="10"/>
  <c r="T23" i="9"/>
  <c r="S23" i="9"/>
  <c r="L23" i="9"/>
  <c r="T21" i="9"/>
  <c r="S21" i="9"/>
  <c r="T20" i="9"/>
  <c r="S20" i="9"/>
  <c r="T19" i="9"/>
  <c r="S19" i="9"/>
  <c r="T18" i="9"/>
  <c r="S18" i="9"/>
  <c r="T17" i="9"/>
  <c r="S17" i="9"/>
  <c r="L17" i="9"/>
  <c r="T15" i="9"/>
  <c r="S15" i="9"/>
  <c r="T14" i="9"/>
  <c r="S14" i="9"/>
  <c r="T13" i="9"/>
  <c r="S13" i="9"/>
  <c r="T12" i="9"/>
  <c r="S12" i="9"/>
  <c r="T23" i="8"/>
  <c r="S23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  <c r="T13" i="7"/>
  <c r="T14" i="7"/>
  <c r="T15" i="7"/>
  <c r="T17" i="7"/>
  <c r="T18" i="7"/>
  <c r="T19" i="7"/>
  <c r="T20" i="7"/>
  <c r="T21" i="7"/>
  <c r="T23" i="7"/>
  <c r="S13" i="7"/>
  <c r="S14" i="7"/>
  <c r="S15" i="7"/>
  <c r="S17" i="7"/>
  <c r="S18" i="7"/>
  <c r="S19" i="7"/>
  <c r="S20" i="7"/>
  <c r="S21" i="7"/>
  <c r="S23" i="7"/>
  <c r="T12" i="7"/>
  <c r="S12" i="7"/>
  <c r="L19" i="7"/>
  <c r="L17" i="7"/>
</calcChain>
</file>

<file path=xl/sharedStrings.xml><?xml version="1.0" encoding="utf-8"?>
<sst xmlns="http://schemas.openxmlformats.org/spreadsheetml/2006/main" count="306" uniqueCount="71">
  <si>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</si>
  <si>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</si>
  <si>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</si>
  <si>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</si>
  <si>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</si>
  <si>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</si>
  <si>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</si>
  <si>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</si>
  <si>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</si>
  <si>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</si>
  <si>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</si>
  <si>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</si>
  <si>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</si>
  <si>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</si>
  <si>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</si>
  <si>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</si>
  <si>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</si>
  <si>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</si>
  <si>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</si>
  <si>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</si>
  <si>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</si>
  <si>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</si>
  <si>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</si>
  <si>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</si>
  <si>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Número de audiencias de participación metropolitana realizadas en conjunto con la Alcaldía de Floridablanca.</t>
  </si>
  <si>
    <t>Número de audiencias de participación metropolitana realizadas en conjunto con la Alcaldía de Piedecuesta.</t>
  </si>
  <si>
    <t>Número de audiencias de participación metropolitana realizadas en conjunto con la Alcaldía de Girón.</t>
  </si>
  <si>
    <t>Número de juntas abiertas del Área Metropolitana de Bucaramanga realizadas con presencia de los integrantes de la junta metropolitana y participación de la comunidad para una discusión pública sobre asuntos metropolitanos.</t>
  </si>
  <si>
    <t>Número de planes de acción formulados para el desarrollo y el mejoramiento de la infraestructura pública en el sur de Bucaramanga, norte de Floridablanca en coordinación con el Área Metropolitana y la Alcaldía de dicho municipio.</t>
  </si>
  <si>
    <t>Número de estrategias de mejoramiento del ornato implementadas y mantenidas en sectores limítrofes con los municipios de Girón y Floridablanca en coordinación con el Área Metropolitana de Bucaramanga.</t>
  </si>
  <si>
    <t>Número de centros de estudios urbanos y territoriales creados y mantenidos en el Área Metropolitana de Bucaramanga.</t>
  </si>
  <si>
    <t>Número de espacios de encuentro generados entre gabinetes para el diálogo y coordinación institucional con el gobierno del municipio de Girón.</t>
  </si>
  <si>
    <t>Número de espacios de encuentro generados entre gabinetes para el diálogo y coordinación institucional con el gobierno del municipio de Floridablanca.</t>
  </si>
  <si>
    <t>PLAN DE ACCIÓN - ÁREA METROPOLITANA DE BUCARAMANGA</t>
  </si>
  <si>
    <t>Número de Sistemas Integrados de Transporte Público Metropolitano con apoyo para la evaluación de viabilidad.</t>
  </si>
  <si>
    <t>SITM EFICIENTE Y CONFIABLE</t>
  </si>
  <si>
    <t>6 - INFRAESTRUCTURA Y CONECTIVIDAD</t>
  </si>
  <si>
    <t>1 - GOBERNANZA DEMOCRÁTICA</t>
  </si>
  <si>
    <t>GOBIERNO PARTICIPATIVO Y ABIERTO</t>
  </si>
  <si>
    <t>GOBERNANZA URBANA</t>
  </si>
  <si>
    <t>TERRITORIOS METROPOLITANOS, PLANES CONJUNTOS</t>
  </si>
  <si>
    <t>CULTURA METROPOLITANA Y CIUDAD REGIÓN: PARTICIPACIÓN QUE ATRAVIESA FRONTERAS</t>
  </si>
  <si>
    <t>MOVILIDAD</t>
  </si>
  <si>
    <t>META CUATRIENIO</t>
  </si>
  <si>
    <t>META REAL</t>
  </si>
  <si>
    <t>RECURSOS FINANCIEROS (Miles de pesos)</t>
  </si>
  <si>
    <t xml:space="preserve"> -</t>
  </si>
  <si>
    <t>AVANCE EN CUMPLIMIENTO</t>
  </si>
  <si>
    <t>2016 - 2019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</si>
  <si>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</si>
  <si>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</si>
  <si>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</si>
  <si>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</si>
  <si>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</si>
  <si>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</si>
  <si>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</si>
  <si>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</si>
  <si>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</si>
  <si>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</si>
  <si>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1.1.6</t>
  </si>
  <si>
    <t>Cultura Metropolitana y Ciudad Región: Participación que Atraviesa Fronteras</t>
  </si>
  <si>
    <t>1.4</t>
  </si>
  <si>
    <t>1.4.5</t>
  </si>
  <si>
    <t>Territorios Metropolitanos, Planes Conjuntos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</si>
  <si>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</si>
  <si>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</si>
  <si>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</si>
  <si>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</si>
  <si>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</si>
  <si>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ÁREA METROPOLITANA DE BUCARAMANGA 2016 - 2019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</si>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</sst>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0"/>
      <name val="Arial"/>
    </font>
    <font>
      <i/>
      <sz val="14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3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9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2" borderId="35" xfId="0" applyFont="1" applyFill="1" applyBorder="1" applyAlignment="1">
      <alignment horizontal="center" vertical="center" wrapText="1"/>
    </xf>
    <xf numFmtId="3" fontId="5" fillId="2" borderId="35" xfId="0" applyNumberFormat="1" applyFont="1" applyFill="1" applyBorder="1" applyAlignment="1">
      <alignment horizontal="center" vertical="center" wrapText="1"/>
    </xf>
    <xf numFmtId="9" fontId="5" fillId="2" borderId="3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3" fillId="0" borderId="25" xfId="0" applyFont="1" applyFill="1" applyBorder="1" applyAlignment="1">
      <alignment horizontal="justify" vertical="center" wrapText="1"/>
    </xf>
    <xf numFmtId="3" fontId="5" fillId="0" borderId="25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5" fillId="0" borderId="41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3" borderId="35" xfId="0" applyNumberFormat="1" applyFont="1" applyFill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 wrapText="1"/>
    </xf>
    <xf numFmtId="9" fontId="6" fillId="0" borderId="50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9" fontId="5" fillId="2" borderId="17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9" fontId="5" fillId="3" borderId="55" xfId="0" applyNumberFormat="1" applyFont="1" applyFill="1" applyBorder="1" applyAlignment="1">
      <alignment horizontal="center" vertical="center"/>
    </xf>
    <xf numFmtId="9" fontId="5" fillId="0" borderId="56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justify" vertical="center"/>
    </xf>
    <xf numFmtId="0" fontId="5" fillId="0" borderId="50" xfId="0" applyFont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164" fontId="3" fillId="0" borderId="14" xfId="0" applyNumberFormat="1" applyFont="1" applyBorder="1" applyAlignment="1" applyProtection="1">
      <alignment horizontal="center" vertical="center" wrapText="1"/>
    </xf>
    <xf numFmtId="9" fontId="5" fillId="3" borderId="42" xfId="0" applyNumberFormat="1" applyFont="1" applyFill="1" applyBorder="1" applyAlignment="1">
      <alignment horizontal="center" vertical="center"/>
    </xf>
    <xf numFmtId="9" fontId="5" fillId="2" borderId="42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9" fillId="4" borderId="45" xfId="0" applyNumberFormat="1" applyFont="1" applyFill="1" applyBorder="1" applyAlignment="1">
      <alignment horizontal="center" vertical="center"/>
    </xf>
    <xf numFmtId="3" fontId="9" fillId="4" borderId="47" xfId="0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9" fontId="9" fillId="4" borderId="46" xfId="0" applyNumberFormat="1" applyFont="1" applyFill="1" applyBorder="1" applyAlignment="1">
      <alignment horizontal="center" vertical="center"/>
    </xf>
    <xf numFmtId="0" fontId="5" fillId="0" borderId="11" xfId="0" quotePrefix="1" applyFont="1" applyFill="1" applyBorder="1"/>
    <xf numFmtId="4" fontId="5" fillId="0" borderId="18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165" fontId="5" fillId="0" borderId="23" xfId="0" applyNumberFormat="1" applyFont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65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48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0" xfId="0" applyNumberFormat="1" applyFont="1" applyFill="1" applyBorder="1" applyAlignment="1">
      <alignment horizontal="center" vertical="center"/>
    </xf>
    <xf numFmtId="9" fontId="5" fillId="5" borderId="45" xfId="0" applyNumberFormat="1" applyFont="1" applyFill="1" applyBorder="1" applyAlignment="1">
      <alignment horizontal="center" vertical="center"/>
    </xf>
    <xf numFmtId="9" fontId="5" fillId="5" borderId="35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47" xfId="0" applyNumberFormat="1" applyFont="1" applyFill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165" fontId="5" fillId="0" borderId="64" xfId="0" applyNumberFormat="1" applyFont="1" applyBorder="1" applyAlignment="1">
      <alignment horizontal="center" vertical="center"/>
    </xf>
    <xf numFmtId="165" fontId="5" fillId="3" borderId="35" xfId="0" applyNumberFormat="1" applyFont="1" applyFill="1" applyBorder="1" applyAlignment="1">
      <alignment horizontal="center" vertical="center"/>
    </xf>
    <xf numFmtId="165" fontId="5" fillId="2" borderId="35" xfId="0" applyNumberFormat="1" applyFont="1" applyFill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/>
    </xf>
    <xf numFmtId="9" fontId="5" fillId="3" borderId="35" xfId="0" applyNumberFormat="1" applyFont="1" applyFill="1" applyBorder="1" applyAlignment="1">
      <alignment horizontal="center" vertical="center"/>
    </xf>
    <xf numFmtId="9" fontId="11" fillId="4" borderId="45" xfId="0" applyNumberFormat="1" applyFont="1" applyFill="1" applyBorder="1" applyAlignment="1">
      <alignment horizontal="center" vertical="center"/>
    </xf>
    <xf numFmtId="9" fontId="11" fillId="4" borderId="47" xfId="0" applyNumberFormat="1" applyFont="1" applyFill="1" applyBorder="1" applyAlignment="1">
      <alignment horizontal="center" vertical="center"/>
    </xf>
    <xf numFmtId="9" fontId="9" fillId="5" borderId="54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3" borderId="35" xfId="0" applyNumberFormat="1" applyFont="1" applyFill="1" applyBorder="1" applyAlignment="1">
      <alignment horizontal="center" vertical="center"/>
    </xf>
    <xf numFmtId="9" fontId="9" fillId="2" borderId="3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9" fontId="13" fillId="7" borderId="47" xfId="0" applyNumberFormat="1" applyFont="1" applyFill="1" applyBorder="1" applyAlignment="1">
      <alignment horizontal="center" vertical="center"/>
    </xf>
    <xf numFmtId="9" fontId="14" fillId="7" borderId="35" xfId="0" applyNumberFormat="1" applyFont="1" applyFill="1" applyBorder="1" applyAlignment="1">
      <alignment horizontal="center" vertical="center"/>
    </xf>
    <xf numFmtId="3" fontId="13" fillId="7" borderId="45" xfId="0" applyNumberFormat="1" applyFont="1" applyFill="1" applyBorder="1" applyAlignment="1">
      <alignment horizontal="center" vertical="center"/>
    </xf>
    <xf numFmtId="3" fontId="13" fillId="7" borderId="47" xfId="0" applyNumberFormat="1" applyFont="1" applyFill="1" applyBorder="1" applyAlignment="1">
      <alignment horizontal="center" vertical="center"/>
    </xf>
    <xf numFmtId="9" fontId="15" fillId="7" borderId="65" xfId="0" applyNumberFormat="1" applyFont="1" applyFill="1" applyBorder="1" applyAlignment="1" applyProtection="1">
      <alignment horizontal="center" vertical="center"/>
    </xf>
    <xf numFmtId="9" fontId="15" fillId="7" borderId="4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8" borderId="41" xfId="0" applyNumberFormat="1" applyFont="1" applyFill="1" applyBorder="1" applyAlignment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/>
    </xf>
    <xf numFmtId="3" fontId="5" fillId="8" borderId="70" xfId="0" applyNumberFormat="1" applyFont="1" applyFill="1" applyBorder="1" applyAlignment="1">
      <alignment horizontal="center" vertical="center"/>
    </xf>
    <xf numFmtId="3" fontId="5" fillId="8" borderId="41" xfId="0" applyNumberFormat="1" applyFont="1" applyFill="1" applyBorder="1" applyAlignment="1">
      <alignment horizontal="center" vertical="center"/>
    </xf>
    <xf numFmtId="9" fontId="18" fillId="8" borderId="18" xfId="0" applyNumberFormat="1" applyFont="1" applyFill="1" applyBorder="1" applyAlignment="1" applyProtection="1">
      <alignment horizontal="center" vertical="center"/>
    </xf>
    <xf numFmtId="9" fontId="18" fillId="8" borderId="5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17" fillId="0" borderId="6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18" fillId="0" borderId="26" xfId="0" applyNumberFormat="1" applyFont="1" applyBorder="1" applyAlignment="1" applyProtection="1">
      <alignment horizontal="center" vertical="center"/>
    </xf>
    <xf numFmtId="9" fontId="18" fillId="0" borderId="9" xfId="0" applyNumberFormat="1" applyFont="1" applyBorder="1" applyAlignment="1" applyProtection="1">
      <alignment horizontal="center" vertical="center"/>
    </xf>
    <xf numFmtId="9" fontId="16" fillId="8" borderId="5" xfId="0" applyNumberFormat="1" applyFont="1" applyFill="1" applyBorder="1" applyAlignment="1">
      <alignment horizontal="center" vertical="center" wrapText="1"/>
    </xf>
    <xf numFmtId="9" fontId="17" fillId="8" borderId="60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18" fillId="8" borderId="26" xfId="0" applyNumberFormat="1" applyFont="1" applyFill="1" applyBorder="1" applyAlignment="1" applyProtection="1">
      <alignment horizontal="center" vertical="center"/>
    </xf>
    <xf numFmtId="9" fontId="18" fillId="8" borderId="9" xfId="0" applyNumberFormat="1" applyFont="1" applyFill="1" applyBorder="1" applyAlignment="1" applyProtection="1">
      <alignment horizontal="center" vertical="center"/>
    </xf>
    <xf numFmtId="9" fontId="17" fillId="0" borderId="49" xfId="0" applyNumberFormat="1" applyFont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/>
    </xf>
    <xf numFmtId="9" fontId="18" fillId="0" borderId="40" xfId="0" applyNumberFormat="1" applyFont="1" applyBorder="1" applyAlignment="1" applyProtection="1">
      <alignment horizontal="center" vertical="center"/>
    </xf>
    <xf numFmtId="9" fontId="18" fillId="0" borderId="31" xfId="0" applyNumberFormat="1" applyFont="1" applyBorder="1" applyAlignment="1" applyProtection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 wrapText="1"/>
    </xf>
    <xf numFmtId="9" fontId="13" fillId="9" borderId="47" xfId="0" applyNumberFormat="1" applyFont="1" applyFill="1" applyBorder="1" applyAlignment="1">
      <alignment horizontal="center" vertical="center" wrapText="1"/>
    </xf>
    <xf numFmtId="9" fontId="14" fillId="9" borderId="35" xfId="0" applyNumberFormat="1" applyFont="1" applyFill="1" applyBorder="1" applyAlignment="1">
      <alignment horizontal="center" vertical="center" wrapText="1"/>
    </xf>
    <xf numFmtId="3" fontId="13" fillId="9" borderId="45" xfId="0" applyNumberFormat="1" applyFont="1" applyFill="1" applyBorder="1" applyAlignment="1">
      <alignment horizontal="center" vertical="center"/>
    </xf>
    <xf numFmtId="3" fontId="13" fillId="9" borderId="47" xfId="0" applyNumberFormat="1" applyFont="1" applyFill="1" applyBorder="1" applyAlignment="1">
      <alignment horizontal="center" vertical="center"/>
    </xf>
    <xf numFmtId="9" fontId="13" fillId="9" borderId="65" xfId="0" applyNumberFormat="1" applyFont="1" applyFill="1" applyBorder="1" applyAlignment="1" applyProtection="1">
      <alignment horizontal="center" vertical="center"/>
    </xf>
    <xf numFmtId="9" fontId="13" fillId="9" borderId="46" xfId="0" applyNumberFormat="1" applyFont="1" applyFill="1" applyBorder="1" applyAlignment="1" applyProtection="1">
      <alignment horizontal="center" vertical="center"/>
    </xf>
    <xf numFmtId="9" fontId="9" fillId="4" borderId="47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 wrapText="1"/>
    </xf>
    <xf numFmtId="9" fontId="20" fillId="4" borderId="35" xfId="0" applyNumberFormat="1" applyFont="1" applyFill="1" applyBorder="1" applyAlignment="1">
      <alignment horizontal="center" vertical="center" wrapText="1"/>
    </xf>
    <xf numFmtId="9" fontId="4" fillId="4" borderId="47" xfId="0" applyNumberFormat="1" applyFont="1" applyFill="1" applyBorder="1" applyAlignment="1" applyProtection="1">
      <alignment horizontal="center" vertical="center"/>
    </xf>
    <xf numFmtId="9" fontId="4" fillId="4" borderId="46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19" fillId="0" borderId="0" xfId="0" applyFont="1"/>
    <xf numFmtId="0" fontId="9" fillId="0" borderId="0" xfId="0" applyFont="1" applyAlignment="1">
      <alignment vertical="center"/>
    </xf>
    <xf numFmtId="9" fontId="16" fillId="0" borderId="4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9" fontId="15" fillId="8" borderId="41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18" fillId="0" borderId="64" xfId="0" applyNumberFormat="1" applyFont="1" applyBorder="1" applyAlignment="1" applyProtection="1">
      <alignment horizontal="center" vertical="center"/>
    </xf>
    <xf numFmtId="9" fontId="18" fillId="0" borderId="10" xfId="0" applyNumberFormat="1" applyFont="1" applyBorder="1" applyAlignment="1" applyProtection="1">
      <alignment horizontal="center" vertical="center"/>
    </xf>
    <xf numFmtId="9" fontId="21" fillId="7" borderId="34" xfId="0" applyNumberFormat="1" applyFont="1" applyFill="1" applyBorder="1" applyAlignment="1">
      <alignment horizontal="center" vertical="center"/>
    </xf>
    <xf numFmtId="9" fontId="22" fillId="8" borderId="68" xfId="0" applyNumberFormat="1" applyFont="1" applyFill="1" applyBorder="1" applyAlignment="1">
      <alignment horizontal="center" vertical="center"/>
    </xf>
    <xf numFmtId="9" fontId="19" fillId="0" borderId="29" xfId="0" applyNumberFormat="1" applyFont="1" applyBorder="1" applyAlignment="1">
      <alignment horizontal="center" vertical="center" wrapText="1"/>
    </xf>
    <xf numFmtId="9" fontId="22" fillId="8" borderId="29" xfId="0" applyNumberFormat="1" applyFont="1" applyFill="1" applyBorder="1" applyAlignment="1">
      <alignment horizontal="center" vertical="center" wrapText="1"/>
    </xf>
    <xf numFmtId="9" fontId="19" fillId="0" borderId="36" xfId="0" applyNumberFormat="1" applyFont="1" applyBorder="1" applyAlignment="1">
      <alignment horizontal="center" vertical="center" wrapText="1"/>
    </xf>
    <xf numFmtId="9" fontId="21" fillId="9" borderId="34" xfId="0" applyNumberFormat="1" applyFont="1" applyFill="1" applyBorder="1" applyAlignment="1">
      <alignment horizontal="center" vertical="center" wrapText="1"/>
    </xf>
    <xf numFmtId="9" fontId="22" fillId="8" borderId="68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/>
    </xf>
    <xf numFmtId="165" fontId="5" fillId="0" borderId="18" xfId="0" applyNumberFormat="1" applyFont="1" applyBorder="1" applyAlignment="1">
      <alignment horizontal="center" vertical="center"/>
    </xf>
    <xf numFmtId="165" fontId="5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/>
    </xf>
    <xf numFmtId="0" fontId="5" fillId="0" borderId="24" xfId="0" applyFont="1" applyBorder="1" applyAlignment="1">
      <alignment horizontal="justify" vertical="center"/>
    </xf>
    <xf numFmtId="0" fontId="5" fillId="0" borderId="39" xfId="0" applyFont="1" applyBorder="1" applyAlignment="1">
      <alignment horizontal="justify" vertical="center"/>
    </xf>
    <xf numFmtId="0" fontId="5" fillId="0" borderId="19" xfId="0" applyFont="1" applyBorder="1" applyAlignment="1">
      <alignment horizontal="justify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justify" vertical="center"/>
    </xf>
    <xf numFmtId="0" fontId="9" fillId="4" borderId="67" xfId="0" applyFont="1" applyFill="1" applyBorder="1" applyAlignment="1">
      <alignment horizontal="justify" vertical="center"/>
    </xf>
    <xf numFmtId="0" fontId="5" fillId="0" borderId="29" xfId="0" applyFont="1" applyBorder="1" applyAlignment="1">
      <alignment horizontal="justify" vertical="center"/>
    </xf>
    <xf numFmtId="0" fontId="13" fillId="9" borderId="34" xfId="0" applyFont="1" applyFill="1" applyBorder="1" applyAlignment="1">
      <alignment horizontal="justify" vertical="center"/>
    </xf>
    <xf numFmtId="0" fontId="13" fillId="9" borderId="67" xfId="0" applyFont="1" applyFill="1" applyBorder="1" applyAlignment="1">
      <alignment horizontal="justify" vertical="center"/>
    </xf>
    <xf numFmtId="0" fontId="16" fillId="8" borderId="68" xfId="0" applyFont="1" applyFill="1" applyBorder="1" applyAlignment="1">
      <alignment horizontal="justify" vertical="center"/>
    </xf>
    <xf numFmtId="0" fontId="16" fillId="8" borderId="19" xfId="0" applyFont="1" applyFill="1" applyBorder="1" applyAlignment="1">
      <alignment horizontal="justify" vertical="center"/>
    </xf>
    <xf numFmtId="0" fontId="5" fillId="0" borderId="36" xfId="0" applyFont="1" applyBorder="1" applyAlignment="1">
      <alignment horizontal="justify" vertical="center"/>
    </xf>
    <xf numFmtId="0" fontId="16" fillId="8" borderId="29" xfId="0" applyFont="1" applyFill="1" applyBorder="1" applyAlignment="1">
      <alignment horizontal="justify" vertical="center"/>
    </xf>
    <xf numFmtId="0" fontId="16" fillId="8" borderId="24" xfId="0" applyFont="1" applyFill="1" applyBorder="1" applyAlignment="1">
      <alignment horizontal="justify" vertical="center"/>
    </xf>
    <xf numFmtId="0" fontId="11" fillId="0" borderId="5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3" fillId="7" borderId="34" xfId="0" applyFont="1" applyFill="1" applyBorder="1" applyAlignment="1">
      <alignment horizontal="justify" vertical="center"/>
    </xf>
    <xf numFmtId="0" fontId="13" fillId="7" borderId="67" xfId="0" applyFont="1" applyFill="1" applyBorder="1" applyAlignment="1">
      <alignment horizontal="justify" vertical="center"/>
    </xf>
    <xf numFmtId="0" fontId="16" fillId="8" borderId="28" xfId="0" applyFont="1" applyFill="1" applyBorder="1" applyAlignment="1">
      <alignment horizontal="justify" vertical="center"/>
    </xf>
    <xf numFmtId="0" fontId="16" fillId="8" borderId="22" xfId="0" applyFont="1" applyFill="1" applyBorder="1" applyAlignment="1">
      <alignment horizontal="justify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57" xfId="0" applyFont="1" applyFill="1" applyBorder="1" applyAlignment="1" applyProtection="1">
      <alignment horizontal="center" vertical="center" wrapText="1"/>
      <protection locked="0"/>
    </xf>
    <xf numFmtId="0" fontId="2" fillId="6" borderId="55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7" xfId="0" applyFont="1" applyFill="1" applyBorder="1" applyAlignment="1" applyProtection="1">
      <alignment horizontal="center" vertical="center" wrapText="1"/>
      <protection locked="0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1447800</xdr:colOff>
      <xdr:row>0</xdr:row>
      <xdr:rowOff>127000</xdr:rowOff>
    </xdr:from>
    <xdr:to>
      <xdr:col>5</xdr:col>
      <xdr:colOff>165100</xdr:colOff>
      <xdr:row>6</xdr:row>
      <xdr:rowOff>25400</xdr:rowOff>
    </xdr:to>
    <xdr:pic>
      <xdr:nvPicPr>
        <xdr:cNvPr id="423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270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127000</xdr:colOff>
      <xdr:row>0</xdr:row>
      <xdr:rowOff>76200</xdr:rowOff>
    </xdr:from>
    <xdr:to>
      <xdr:col>17</xdr:col>
      <xdr:colOff>825500</xdr:colOff>
      <xdr:row>4</xdr:row>
      <xdr:rowOff>152400</xdr:rowOff>
    </xdr:to>
    <xdr:pic>
      <xdr:nvPicPr>
        <xdr:cNvPr id="423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9100" y="762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2044700</xdr:colOff>
      <xdr:row>0</xdr:row>
      <xdr:rowOff>152400</xdr:rowOff>
    </xdr:from>
    <xdr:to>
      <xdr:col>17</xdr:col>
      <xdr:colOff>647700</xdr:colOff>
      <xdr:row>5</xdr:row>
      <xdr:rowOff>38100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9400" y="1524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25400</xdr:colOff>
      <xdr:row>1</xdr:row>
      <xdr:rowOff>0</xdr:rowOff>
    </xdr:from>
    <xdr:to>
      <xdr:col>17</xdr:col>
      <xdr:colOff>723900</xdr:colOff>
      <xdr:row>5</xdr:row>
      <xdr:rowOff>76200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75600" y="1905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2019300</xdr:colOff>
      <xdr:row>0</xdr:row>
      <xdr:rowOff>12700</xdr:rowOff>
    </xdr:from>
    <xdr:to>
      <xdr:col>17</xdr:col>
      <xdr:colOff>622300</xdr:colOff>
      <xdr:row>4</xdr:row>
      <xdr:rowOff>88900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0" y="12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0</xdr:row>
      <xdr:rowOff>88900</xdr:rowOff>
    </xdr:from>
    <xdr:to>
      <xdr:col>4</xdr:col>
      <xdr:colOff>571500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2019300</xdr:colOff>
      <xdr:row>0</xdr:row>
      <xdr:rowOff>12700</xdr:rowOff>
    </xdr:from>
    <xdr:to>
      <xdr:col>22</xdr:col>
      <xdr:colOff>622300</xdr:colOff>
      <xdr:row>4</xdr:row>
      <xdr:rowOff>88900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0400" y="12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1549400</xdr:colOff>
      <xdr:row>3</xdr:row>
      <xdr:rowOff>38100</xdr:rowOff>
    </xdr:from>
    <xdr:to>
      <xdr:col>2</xdr:col>
      <xdr:colOff>2552700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2984499</xdr:colOff>
      <xdr:row>3</xdr:row>
      <xdr:rowOff>50800</xdr:rowOff>
    </xdr:from>
    <xdr:to>
      <xdr:col>3</xdr:col>
      <xdr:colOff>1308099</xdr:colOff>
      <xdr:row>6</xdr:row>
      <xdr:rowOff>292100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099" y="7239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9" t="s">
        <v>16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2:20" ht="20" customHeight="1">
      <c r="B3" s="209" t="s">
        <v>19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2:20" ht="20" customHeight="1">
      <c r="B4" s="209" t="s">
        <v>33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2016</v>
      </c>
      <c r="C8" s="82">
        <v>42735</v>
      </c>
      <c r="D8" s="210" t="s">
        <v>3</v>
      </c>
      <c r="E8" s="211"/>
      <c r="F8" s="211"/>
      <c r="G8" s="211"/>
      <c r="H8" s="211"/>
      <c r="I8" s="211"/>
      <c r="J8" s="211"/>
      <c r="K8" s="2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3" t="s">
        <v>17</v>
      </c>
      <c r="C9" s="216" t="s">
        <v>18</v>
      </c>
      <c r="D9" s="218" t="s">
        <v>0</v>
      </c>
      <c r="E9" s="221" t="s">
        <v>4</v>
      </c>
      <c r="F9" s="221"/>
      <c r="G9" s="221" t="s">
        <v>5</v>
      </c>
      <c r="H9" s="221"/>
      <c r="I9" s="221"/>
      <c r="J9" s="221"/>
      <c r="K9" s="223"/>
      <c r="L9" s="48"/>
      <c r="M9" s="218" t="s">
        <v>6</v>
      </c>
      <c r="N9" s="223"/>
      <c r="O9" s="233" t="s">
        <v>45</v>
      </c>
      <c r="P9" s="234"/>
      <c r="Q9" s="234"/>
      <c r="R9" s="234"/>
      <c r="S9" s="234"/>
      <c r="T9" s="235"/>
    </row>
    <row r="10" spans="2:20" ht="17" customHeight="1">
      <c r="B10" s="214"/>
      <c r="C10" s="217"/>
      <c r="D10" s="219"/>
      <c r="E10" s="222"/>
      <c r="F10" s="222"/>
      <c r="G10" s="222" t="s">
        <v>7</v>
      </c>
      <c r="H10" s="226" t="s">
        <v>43</v>
      </c>
      <c r="I10" s="226" t="s">
        <v>44</v>
      </c>
      <c r="J10" s="227" t="s">
        <v>1</v>
      </c>
      <c r="K10" s="224" t="s">
        <v>8</v>
      </c>
      <c r="L10" s="49"/>
      <c r="M10" s="229" t="s">
        <v>9</v>
      </c>
      <c r="N10" s="231" t="s">
        <v>10</v>
      </c>
      <c r="O10" s="236"/>
      <c r="P10" s="237"/>
      <c r="Q10" s="237"/>
      <c r="R10" s="237"/>
      <c r="S10" s="237"/>
      <c r="T10" s="238"/>
    </row>
    <row r="11" spans="2:20" ht="37.5" customHeight="1" thickBot="1">
      <c r="B11" s="215"/>
      <c r="C11" s="217"/>
      <c r="D11" s="220"/>
      <c r="E11" s="12" t="s">
        <v>11</v>
      </c>
      <c r="F11" s="12" t="s">
        <v>12</v>
      </c>
      <c r="G11" s="226"/>
      <c r="H11" s="239"/>
      <c r="I11" s="239"/>
      <c r="J11" s="228"/>
      <c r="K11" s="225"/>
      <c r="L11" s="50"/>
      <c r="M11" s="230"/>
      <c r="N11" s="23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44" t="s">
        <v>37</v>
      </c>
      <c r="C12" s="244" t="s">
        <v>38</v>
      </c>
      <c r="D12" s="240" t="s">
        <v>41</v>
      </c>
      <c r="E12" s="19">
        <v>42370</v>
      </c>
      <c r="F12" s="19">
        <v>42735</v>
      </c>
      <c r="G12" s="5" t="s">
        <v>24</v>
      </c>
      <c r="H12" s="76">
        <v>4</v>
      </c>
      <c r="I12" s="76">
        <v>0</v>
      </c>
      <c r="J12" s="20">
        <v>0</v>
      </c>
      <c r="K12" s="37">
        <v>0</v>
      </c>
      <c r="L12" s="52" t="e">
        <f>+K12/J12</f>
        <v>#DIV/0!</v>
      </c>
      <c r="M12" s="42">
        <f>DAYS360(E12,$C$8)/DAYS360(E12,F12)</f>
        <v>1</v>
      </c>
      <c r="N12" s="43" t="str">
        <f>IF(J12=0," -",IF(L12&gt;100%,100%,L12))</f>
        <v xml:space="preserve"> -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45"/>
      <c r="C13" s="245"/>
      <c r="D13" s="241"/>
      <c r="E13" s="17">
        <v>42370</v>
      </c>
      <c r="F13" s="17">
        <v>42735</v>
      </c>
      <c r="G13" s="6" t="s">
        <v>25</v>
      </c>
      <c r="H13" s="77">
        <v>4</v>
      </c>
      <c r="I13" s="77">
        <v>0</v>
      </c>
      <c r="J13" s="18">
        <v>0</v>
      </c>
      <c r="K13" s="38">
        <v>0</v>
      </c>
      <c r="L13" s="53" t="e">
        <f>+K13/J13</f>
        <v>#DIV/0!</v>
      </c>
      <c r="M13" s="44">
        <f>DAYS360(E13,$C$8)/DAYS360(E13,F13)</f>
        <v>1</v>
      </c>
      <c r="N13" s="45" t="str">
        <f>IF(J13=0," -",IF(L13&gt;100%,100%,L13))</f>
        <v xml:space="preserve"> -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45"/>
      <c r="C14" s="245"/>
      <c r="D14" s="241"/>
      <c r="E14" s="17">
        <v>42370</v>
      </c>
      <c r="F14" s="17">
        <v>42735</v>
      </c>
      <c r="G14" s="6" t="s">
        <v>26</v>
      </c>
      <c r="H14" s="77">
        <v>4</v>
      </c>
      <c r="I14" s="77">
        <v>0</v>
      </c>
      <c r="J14" s="18">
        <v>0</v>
      </c>
      <c r="K14" s="38">
        <v>0</v>
      </c>
      <c r="L14" s="53" t="e">
        <f t="shared" ref="L14:L15" si="2">+K14/J14</f>
        <v>#DIV/0!</v>
      </c>
      <c r="M14" s="44">
        <f t="shared" ref="M14:M23" si="3">DAYS360(E14,$C$8)/DAYS360(E14,F14)</f>
        <v>1</v>
      </c>
      <c r="N14" s="45" t="str">
        <f t="shared" ref="N14:N21" si="4">IF(J14=0," -",IF(L14&gt;100%,100%,L14))</f>
        <v xml:space="preserve"> -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45"/>
      <c r="C15" s="246"/>
      <c r="D15" s="242"/>
      <c r="E15" s="22">
        <v>42370</v>
      </c>
      <c r="F15" s="22">
        <v>42735</v>
      </c>
      <c r="G15" s="23" t="s">
        <v>27</v>
      </c>
      <c r="H15" s="78">
        <v>8</v>
      </c>
      <c r="I15" s="78">
        <v>0</v>
      </c>
      <c r="J15" s="24">
        <v>0</v>
      </c>
      <c r="K15" s="39">
        <v>0</v>
      </c>
      <c r="L15" s="53" t="e">
        <f t="shared" si="2"/>
        <v>#DIV/0!</v>
      </c>
      <c r="M15" s="44">
        <f t="shared" si="3"/>
        <v>1</v>
      </c>
      <c r="N15" s="45" t="str">
        <f t="shared" si="4"/>
        <v xml:space="preserve"> -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45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45"/>
      <c r="C17" s="244" t="s">
        <v>39</v>
      </c>
      <c r="D17" s="243" t="s">
        <v>40</v>
      </c>
      <c r="E17" s="29">
        <v>42370</v>
      </c>
      <c r="F17" s="29">
        <v>42735</v>
      </c>
      <c r="G17" s="30" t="s">
        <v>28</v>
      </c>
      <c r="H17" s="79">
        <v>1</v>
      </c>
      <c r="I17" s="79">
        <v>0</v>
      </c>
      <c r="J17" s="31">
        <v>0</v>
      </c>
      <c r="K17" s="94">
        <v>0.25</v>
      </c>
      <c r="L17" s="52" t="e">
        <f>+K17/J17</f>
        <v>#DIV/0!</v>
      </c>
      <c r="M17" s="44">
        <f t="shared" si="3"/>
        <v>1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45"/>
      <c r="C18" s="245"/>
      <c r="D18" s="241"/>
      <c r="E18" s="17">
        <v>42370</v>
      </c>
      <c r="F18" s="17">
        <v>42735</v>
      </c>
      <c r="G18" s="6" t="s">
        <v>29</v>
      </c>
      <c r="H18" s="77">
        <v>1</v>
      </c>
      <c r="I18" s="77">
        <v>0</v>
      </c>
      <c r="J18" s="18">
        <v>0</v>
      </c>
      <c r="K18" s="95">
        <v>0.25</v>
      </c>
      <c r="L18" s="53" t="e">
        <f>+K18/J18</f>
        <v>#DIV/0!</v>
      </c>
      <c r="M18" s="44">
        <f t="shared" si="3"/>
        <v>1</v>
      </c>
      <c r="N18" s="45" t="str">
        <f t="shared" si="4"/>
        <v xml:space="preserve"> -</v>
      </c>
      <c r="O18" s="64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45"/>
      <c r="C19" s="245"/>
      <c r="D19" s="241"/>
      <c r="E19" s="17">
        <v>42370</v>
      </c>
      <c r="F19" s="17">
        <v>42735</v>
      </c>
      <c r="G19" s="6" t="s">
        <v>30</v>
      </c>
      <c r="H19" s="77">
        <v>1</v>
      </c>
      <c r="I19" s="77">
        <v>0</v>
      </c>
      <c r="J19" s="18">
        <v>0</v>
      </c>
      <c r="K19" s="38">
        <v>0</v>
      </c>
      <c r="L19" s="53" t="e">
        <f t="shared" ref="L19:L21" si="5">+K19/J19</f>
        <v>#DIV/0!</v>
      </c>
      <c r="M19" s="44">
        <f t="shared" si="3"/>
        <v>1</v>
      </c>
      <c r="N19" s="45" t="str">
        <f t="shared" si="4"/>
        <v xml:space="preserve"> -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45"/>
      <c r="C20" s="245"/>
      <c r="D20" s="241"/>
      <c r="E20" s="17">
        <v>42370</v>
      </c>
      <c r="F20" s="17">
        <v>42735</v>
      </c>
      <c r="G20" s="6" t="s">
        <v>31</v>
      </c>
      <c r="H20" s="77">
        <v>8</v>
      </c>
      <c r="I20" s="77">
        <v>0</v>
      </c>
      <c r="J20" s="18">
        <v>0</v>
      </c>
      <c r="K20" s="38">
        <v>0</v>
      </c>
      <c r="L20" s="53" t="e">
        <f t="shared" si="5"/>
        <v>#DIV/0!</v>
      </c>
      <c r="M20" s="44">
        <f t="shared" si="3"/>
        <v>1</v>
      </c>
      <c r="N20" s="45" t="str">
        <f t="shared" si="4"/>
        <v xml:space="preserve"> -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46"/>
      <c r="C21" s="246"/>
      <c r="D21" s="242"/>
      <c r="E21" s="22">
        <v>42370</v>
      </c>
      <c r="F21" s="22">
        <v>42735</v>
      </c>
      <c r="G21" s="23" t="s">
        <v>32</v>
      </c>
      <c r="H21" s="78">
        <v>8</v>
      </c>
      <c r="I21" s="78">
        <v>0</v>
      </c>
      <c r="J21" s="24">
        <v>0</v>
      </c>
      <c r="K21" s="39">
        <v>0</v>
      </c>
      <c r="L21" s="53" t="e">
        <f t="shared" si="5"/>
        <v>#DIV/0!</v>
      </c>
      <c r="M21" s="44">
        <f t="shared" si="3"/>
        <v>1</v>
      </c>
      <c r="N21" s="45" t="str">
        <f t="shared" si="4"/>
        <v xml:space="preserve"> -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42370</v>
      </c>
      <c r="F23" s="25">
        <v>42735</v>
      </c>
      <c r="G23" s="26" t="s">
        <v>34</v>
      </c>
      <c r="H23" s="80">
        <v>1</v>
      </c>
      <c r="I23" s="80">
        <v>0</v>
      </c>
      <c r="J23" s="27">
        <v>0</v>
      </c>
      <c r="K23" s="41">
        <v>0</v>
      </c>
      <c r="L23" s="56" t="e">
        <f>+K23/J23</f>
        <v>#DIV/0!</v>
      </c>
      <c r="M23" s="46">
        <f t="shared" si="3"/>
        <v>1</v>
      </c>
      <c r="N23" s="47" t="str">
        <f>IF(J23=0," -",IF(L23&gt;100%,100%,L23))</f>
        <v xml:space="preserve"> -</v>
      </c>
      <c r="O23" s="60" t="s">
        <v>46</v>
      </c>
      <c r="P23" s="86">
        <v>0</v>
      </c>
      <c r="Q23" s="86">
        <v>0</v>
      </c>
      <c r="R23" s="86">
        <v>0</v>
      </c>
      <c r="S23" s="87" t="str">
        <f t="shared" si="0"/>
        <v xml:space="preserve"> -</v>
      </c>
      <c r="T23" s="88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 t="s">
        <v>46</v>
      </c>
      <c r="O24" s="93"/>
      <c r="P24" s="89">
        <f>+SUM(P12:P15,P17:P21,P23)</f>
        <v>1010880</v>
      </c>
      <c r="Q24" s="90">
        <f t="shared" ref="Q24:R24" si="6">+SUM(Q12:Q15,Q17:Q21,Q23)</f>
        <v>1010880</v>
      </c>
      <c r="R24" s="90">
        <f t="shared" si="6"/>
        <v>0</v>
      </c>
      <c r="S24" s="91">
        <f t="shared" si="0"/>
        <v>1</v>
      </c>
      <c r="T24" s="92" t="str">
        <f t="shared" si="1"/>
        <v xml:space="preserve"> -</v>
      </c>
    </row>
  </sheetData>
  <mergeCells count="23">
    <mergeCell ref="I10:I11"/>
    <mergeCell ref="H10:H11"/>
    <mergeCell ref="D12:D15"/>
    <mergeCell ref="D17:D21"/>
    <mergeCell ref="B12:B21"/>
    <mergeCell ref="C12:C15"/>
    <mergeCell ref="C17:C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9" t="s">
        <v>16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2:20" ht="20" customHeight="1">
      <c r="B3" s="209" t="s">
        <v>19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2:20" ht="20" customHeight="1">
      <c r="B4" s="209" t="s">
        <v>33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2017</v>
      </c>
      <c r="C8" s="82">
        <v>43100</v>
      </c>
      <c r="D8" s="210" t="s">
        <v>3</v>
      </c>
      <c r="E8" s="211"/>
      <c r="F8" s="211"/>
      <c r="G8" s="211"/>
      <c r="H8" s="211"/>
      <c r="I8" s="211"/>
      <c r="J8" s="211"/>
      <c r="K8" s="2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3" t="s">
        <v>17</v>
      </c>
      <c r="C9" s="216" t="s">
        <v>18</v>
      </c>
      <c r="D9" s="218" t="s">
        <v>0</v>
      </c>
      <c r="E9" s="221" t="s">
        <v>4</v>
      </c>
      <c r="F9" s="221"/>
      <c r="G9" s="221" t="s">
        <v>5</v>
      </c>
      <c r="H9" s="221"/>
      <c r="I9" s="221"/>
      <c r="J9" s="221"/>
      <c r="K9" s="223"/>
      <c r="L9" s="48"/>
      <c r="M9" s="218" t="s">
        <v>6</v>
      </c>
      <c r="N9" s="223"/>
      <c r="O9" s="233" t="s">
        <v>45</v>
      </c>
      <c r="P9" s="234"/>
      <c r="Q9" s="234"/>
      <c r="R9" s="234"/>
      <c r="S9" s="234"/>
      <c r="T9" s="235"/>
    </row>
    <row r="10" spans="2:20" ht="17" customHeight="1">
      <c r="B10" s="214"/>
      <c r="C10" s="217"/>
      <c r="D10" s="219"/>
      <c r="E10" s="222"/>
      <c r="F10" s="222"/>
      <c r="G10" s="222" t="s">
        <v>7</v>
      </c>
      <c r="H10" s="226" t="s">
        <v>43</v>
      </c>
      <c r="I10" s="226" t="s">
        <v>44</v>
      </c>
      <c r="J10" s="227" t="s">
        <v>1</v>
      </c>
      <c r="K10" s="224" t="s">
        <v>8</v>
      </c>
      <c r="L10" s="49"/>
      <c r="M10" s="229" t="s">
        <v>9</v>
      </c>
      <c r="N10" s="231" t="s">
        <v>10</v>
      </c>
      <c r="O10" s="236"/>
      <c r="P10" s="237"/>
      <c r="Q10" s="237"/>
      <c r="R10" s="237"/>
      <c r="S10" s="237"/>
      <c r="T10" s="238"/>
    </row>
    <row r="11" spans="2:20" ht="37.5" customHeight="1" thickBot="1">
      <c r="B11" s="215"/>
      <c r="C11" s="217"/>
      <c r="D11" s="220"/>
      <c r="E11" s="12" t="s">
        <v>11</v>
      </c>
      <c r="F11" s="12" t="s">
        <v>12</v>
      </c>
      <c r="G11" s="226"/>
      <c r="H11" s="239"/>
      <c r="I11" s="239"/>
      <c r="J11" s="228"/>
      <c r="K11" s="225"/>
      <c r="L11" s="50"/>
      <c r="M11" s="230"/>
      <c r="N11" s="23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44" t="s">
        <v>37</v>
      </c>
      <c r="C12" s="244" t="s">
        <v>38</v>
      </c>
      <c r="D12" s="240" t="s">
        <v>41</v>
      </c>
      <c r="E12" s="19">
        <v>42736</v>
      </c>
      <c r="F12" s="19">
        <v>43100</v>
      </c>
      <c r="G12" s="5" t="s">
        <v>24</v>
      </c>
      <c r="H12" s="76">
        <v>4</v>
      </c>
      <c r="I12" s="79">
        <f>+J12+('2016'!I12-'2016'!K12)</f>
        <v>1</v>
      </c>
      <c r="J12" s="20">
        <v>1</v>
      </c>
      <c r="K12" s="37">
        <v>1</v>
      </c>
      <c r="L12" s="52">
        <f>+K12/J12</f>
        <v>1</v>
      </c>
      <c r="M12" s="42">
        <f>DAYS360(E12,$C$8)/DAYS360(E12,F12)</f>
        <v>1</v>
      </c>
      <c r="N12" s="43">
        <f>IF(J12=0," -",IF(L12&gt;100%,100%,L12))</f>
        <v>1</v>
      </c>
      <c r="O12" s="63" t="s">
        <v>46</v>
      </c>
      <c r="P12" s="20">
        <v>4000</v>
      </c>
      <c r="Q12" s="20">
        <v>4000</v>
      </c>
      <c r="R12" s="20">
        <v>0</v>
      </c>
      <c r="S12" s="21">
        <f>IF(P12=0," -",Q12/P12)</f>
        <v>1</v>
      </c>
      <c r="T12" s="43" t="str">
        <f>IF(R12=0," -",IF(Q12=0,100%,R12/Q12))</f>
        <v xml:space="preserve"> -</v>
      </c>
    </row>
    <row r="13" spans="2:20" ht="30">
      <c r="B13" s="245"/>
      <c r="C13" s="245"/>
      <c r="D13" s="241"/>
      <c r="E13" s="17">
        <v>42736</v>
      </c>
      <c r="F13" s="17">
        <v>43100</v>
      </c>
      <c r="G13" s="6" t="s">
        <v>25</v>
      </c>
      <c r="H13" s="77">
        <v>4</v>
      </c>
      <c r="I13" s="79">
        <f>+J13+('2016'!I13-'2016'!K13)</f>
        <v>2</v>
      </c>
      <c r="J13" s="18">
        <v>2</v>
      </c>
      <c r="K13" s="101">
        <v>1.5</v>
      </c>
      <c r="L13" s="53">
        <f>+K13/J13</f>
        <v>0.75</v>
      </c>
      <c r="M13" s="44">
        <f>DAYS360(E13,$C$8)/DAYS360(E13,F13)</f>
        <v>1</v>
      </c>
      <c r="N13" s="45">
        <f>IF(J13=0," -",IF(L13&gt;100%,100%,L13))</f>
        <v>0.75</v>
      </c>
      <c r="O13" s="64" t="s">
        <v>46</v>
      </c>
      <c r="P13" s="18">
        <v>8000</v>
      </c>
      <c r="Q13" s="31">
        <v>4333</v>
      </c>
      <c r="R13" s="18">
        <v>0</v>
      </c>
      <c r="S13" s="32">
        <f t="shared" ref="S13:S24" si="0">IF(P13=0," -",Q13/P13)</f>
        <v>0.54162500000000002</v>
      </c>
      <c r="T13" s="67" t="str">
        <f t="shared" ref="T13:T24" si="1">IF(R13=0," -",IF(Q13=0,100%,R13/Q13))</f>
        <v xml:space="preserve"> -</v>
      </c>
    </row>
    <row r="14" spans="2:20" ht="30">
      <c r="B14" s="245"/>
      <c r="C14" s="245"/>
      <c r="D14" s="241"/>
      <c r="E14" s="17">
        <v>42736</v>
      </c>
      <c r="F14" s="17">
        <v>43100</v>
      </c>
      <c r="G14" s="6" t="s">
        <v>26</v>
      </c>
      <c r="H14" s="77">
        <v>4</v>
      </c>
      <c r="I14" s="79">
        <f>+J14+('2016'!I14-'2016'!K14)</f>
        <v>1</v>
      </c>
      <c r="J14" s="18">
        <v>1</v>
      </c>
      <c r="K14" s="38">
        <v>1</v>
      </c>
      <c r="L14" s="53">
        <f t="shared" ref="L14:L15" si="2">+K14/J14</f>
        <v>1</v>
      </c>
      <c r="M14" s="44">
        <f t="shared" ref="M14:M23" si="3">DAYS360(E14,$C$8)/DAYS360(E14,F14)</f>
        <v>1</v>
      </c>
      <c r="N14" s="45">
        <f t="shared" ref="N14:N21" si="4">IF(J14=0," -",IF(L14&gt;100%,100%,L14))</f>
        <v>1</v>
      </c>
      <c r="O14" s="64" t="s">
        <v>46</v>
      </c>
      <c r="P14" s="18">
        <v>4000</v>
      </c>
      <c r="Q14" s="31">
        <v>4000</v>
      </c>
      <c r="R14" s="18">
        <v>0</v>
      </c>
      <c r="S14" s="32">
        <f t="shared" si="0"/>
        <v>1</v>
      </c>
      <c r="T14" s="67" t="str">
        <f t="shared" si="1"/>
        <v xml:space="preserve"> -</v>
      </c>
    </row>
    <row r="15" spans="2:20" ht="76" thickBot="1">
      <c r="B15" s="245"/>
      <c r="C15" s="246"/>
      <c r="D15" s="242"/>
      <c r="E15" s="22">
        <v>42736</v>
      </c>
      <c r="F15" s="22">
        <v>43100</v>
      </c>
      <c r="G15" s="23" t="s">
        <v>27</v>
      </c>
      <c r="H15" s="78">
        <v>8</v>
      </c>
      <c r="I15" s="79">
        <f>+J15+('2016'!I15-'2016'!K15)</f>
        <v>2</v>
      </c>
      <c r="J15" s="24">
        <v>2</v>
      </c>
      <c r="K15" s="39">
        <v>0.2</v>
      </c>
      <c r="L15" s="53">
        <f t="shared" si="2"/>
        <v>0.1</v>
      </c>
      <c r="M15" s="44">
        <f t="shared" si="3"/>
        <v>1</v>
      </c>
      <c r="N15" s="45">
        <f t="shared" si="4"/>
        <v>0.1</v>
      </c>
      <c r="O15" s="65" t="s">
        <v>46</v>
      </c>
      <c r="P15" s="66">
        <v>5000</v>
      </c>
      <c r="Q15" s="27">
        <v>667</v>
      </c>
      <c r="R15" s="66">
        <v>0</v>
      </c>
      <c r="S15" s="28">
        <f t="shared" si="0"/>
        <v>0.13339999999999999</v>
      </c>
      <c r="T15" s="71" t="str">
        <f t="shared" si="1"/>
        <v xml:space="preserve"> -</v>
      </c>
    </row>
    <row r="16" spans="2:20" ht="13" customHeight="1" thickBot="1">
      <c r="B16" s="245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45"/>
      <c r="C17" s="244" t="s">
        <v>39</v>
      </c>
      <c r="D17" s="243" t="s">
        <v>40</v>
      </c>
      <c r="E17" s="29">
        <v>42736</v>
      </c>
      <c r="F17" s="29">
        <v>43100</v>
      </c>
      <c r="G17" s="30" t="s">
        <v>28</v>
      </c>
      <c r="H17" s="79">
        <v>1</v>
      </c>
      <c r="I17" s="79">
        <f>+J17+('2016'!I17-'2016'!K17)</f>
        <v>0.75</v>
      </c>
      <c r="J17" s="31">
        <v>1</v>
      </c>
      <c r="K17" s="207">
        <v>0.8</v>
      </c>
      <c r="L17" s="52">
        <f>+K17/J17</f>
        <v>0.8</v>
      </c>
      <c r="M17" s="44">
        <f t="shared" si="3"/>
        <v>1</v>
      </c>
      <c r="N17" s="45">
        <f t="shared" si="4"/>
        <v>0.8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45"/>
      <c r="C18" s="245"/>
      <c r="D18" s="241"/>
      <c r="E18" s="17">
        <v>42736</v>
      </c>
      <c r="F18" s="17">
        <v>43100</v>
      </c>
      <c r="G18" s="6" t="s">
        <v>29</v>
      </c>
      <c r="H18" s="77">
        <v>1</v>
      </c>
      <c r="I18" s="79">
        <f>+J18</f>
        <v>1</v>
      </c>
      <c r="J18" s="18">
        <v>1</v>
      </c>
      <c r="K18" s="38">
        <v>0.8</v>
      </c>
      <c r="L18" s="53">
        <f>+K18/J18</f>
        <v>0.8</v>
      </c>
      <c r="M18" s="44">
        <f t="shared" si="3"/>
        <v>1</v>
      </c>
      <c r="N18" s="45">
        <f t="shared" si="4"/>
        <v>0.8</v>
      </c>
      <c r="O18" s="64" t="s">
        <v>46</v>
      </c>
      <c r="P18" s="18">
        <v>505440</v>
      </c>
      <c r="Q18" s="18">
        <v>505440</v>
      </c>
      <c r="R18" s="18"/>
      <c r="S18" s="32">
        <f t="shared" si="0"/>
        <v>1</v>
      </c>
      <c r="T18" s="67" t="str">
        <f t="shared" si="1"/>
        <v xml:space="preserve"> -</v>
      </c>
    </row>
    <row r="19" spans="2:20" ht="45">
      <c r="B19" s="245"/>
      <c r="C19" s="245"/>
      <c r="D19" s="241"/>
      <c r="E19" s="17">
        <v>42736</v>
      </c>
      <c r="F19" s="17">
        <v>43100</v>
      </c>
      <c r="G19" s="6" t="s">
        <v>30</v>
      </c>
      <c r="H19" s="77">
        <v>1</v>
      </c>
      <c r="I19" s="79">
        <f>+J19</f>
        <v>1</v>
      </c>
      <c r="J19" s="18">
        <v>1</v>
      </c>
      <c r="K19" s="38">
        <v>0</v>
      </c>
      <c r="L19" s="53">
        <f t="shared" ref="L19:L21" si="5">+K19/J19</f>
        <v>0</v>
      </c>
      <c r="M19" s="44">
        <f t="shared" si="3"/>
        <v>1</v>
      </c>
      <c r="N19" s="45">
        <f t="shared" si="4"/>
        <v>0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45"/>
      <c r="C20" s="245"/>
      <c r="D20" s="241"/>
      <c r="E20" s="17">
        <v>42736</v>
      </c>
      <c r="F20" s="17">
        <v>43100</v>
      </c>
      <c r="G20" s="6" t="s">
        <v>31</v>
      </c>
      <c r="H20" s="77">
        <v>8</v>
      </c>
      <c r="I20" s="79">
        <f>+J20+('2016'!I20-'2016'!K20)</f>
        <v>2</v>
      </c>
      <c r="J20" s="18">
        <v>2</v>
      </c>
      <c r="K20" s="38">
        <v>2</v>
      </c>
      <c r="L20" s="53">
        <f t="shared" si="5"/>
        <v>1</v>
      </c>
      <c r="M20" s="44">
        <f t="shared" si="3"/>
        <v>1</v>
      </c>
      <c r="N20" s="45">
        <f t="shared" si="4"/>
        <v>1</v>
      </c>
      <c r="O20" s="64" t="s">
        <v>46</v>
      </c>
      <c r="P20" s="18">
        <v>5000</v>
      </c>
      <c r="Q20" s="31">
        <v>5000</v>
      </c>
      <c r="R20" s="18">
        <v>0</v>
      </c>
      <c r="S20" s="32">
        <f t="shared" si="0"/>
        <v>1</v>
      </c>
      <c r="T20" s="67" t="str">
        <f t="shared" si="1"/>
        <v xml:space="preserve"> -</v>
      </c>
    </row>
    <row r="21" spans="2:20" ht="46" thickBot="1">
      <c r="B21" s="246"/>
      <c r="C21" s="246"/>
      <c r="D21" s="242"/>
      <c r="E21" s="22">
        <v>42736</v>
      </c>
      <c r="F21" s="22">
        <v>43100</v>
      </c>
      <c r="G21" s="23" t="s">
        <v>32</v>
      </c>
      <c r="H21" s="78">
        <v>8</v>
      </c>
      <c r="I21" s="79">
        <f>+J21+('2016'!I21-'2016'!K21)</f>
        <v>2</v>
      </c>
      <c r="J21" s="24">
        <v>2</v>
      </c>
      <c r="K21" s="39">
        <v>2</v>
      </c>
      <c r="L21" s="53">
        <f t="shared" si="5"/>
        <v>1</v>
      </c>
      <c r="M21" s="44">
        <f t="shared" si="3"/>
        <v>1</v>
      </c>
      <c r="N21" s="45">
        <f t="shared" si="4"/>
        <v>1</v>
      </c>
      <c r="O21" s="65" t="s">
        <v>46</v>
      </c>
      <c r="P21" s="66">
        <v>5000</v>
      </c>
      <c r="Q21" s="27">
        <v>5000</v>
      </c>
      <c r="R21" s="66">
        <v>0</v>
      </c>
      <c r="S21" s="28">
        <f t="shared" si="0"/>
        <v>1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42736</v>
      </c>
      <c r="F23" s="25">
        <v>43100</v>
      </c>
      <c r="G23" s="26" t="s">
        <v>34</v>
      </c>
      <c r="H23" s="80">
        <v>1</v>
      </c>
      <c r="I23" s="80">
        <f>+J23+('2016'!I23-'2016'!K23)</f>
        <v>1</v>
      </c>
      <c r="J23" s="27">
        <v>1</v>
      </c>
      <c r="K23" s="41">
        <v>0</v>
      </c>
      <c r="L23" s="56">
        <f>+K23/J23</f>
        <v>0</v>
      </c>
      <c r="M23" s="46">
        <f t="shared" si="3"/>
        <v>1</v>
      </c>
      <c r="N23" s="47">
        <f>IF(J23=0," -",IF(L23&gt;100%,100%,L23))</f>
        <v>0</v>
      </c>
      <c r="O23" s="60" t="s">
        <v>46</v>
      </c>
      <c r="P23" s="61">
        <v>0</v>
      </c>
      <c r="Q23" s="61">
        <v>0</v>
      </c>
      <c r="R23" s="61">
        <v>0</v>
      </c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>
        <f>+AVERAGE(N12:N15,N17:N21,N23)</f>
        <v>0.64500000000000002</v>
      </c>
      <c r="O24" s="93"/>
      <c r="P24" s="90">
        <f>+SUM(P12:P15,P17:P21,P23)</f>
        <v>1041880</v>
      </c>
      <c r="Q24" s="90">
        <f t="shared" ref="Q24:R24" si="6">+SUM(Q12:Q15,Q17:Q21,Q23)</f>
        <v>1033880</v>
      </c>
      <c r="R24" s="90">
        <f t="shared" si="6"/>
        <v>0</v>
      </c>
      <c r="S24" s="91">
        <f t="shared" si="0"/>
        <v>0.99232157254194342</v>
      </c>
      <c r="T24" s="92" t="str">
        <f t="shared" si="1"/>
        <v xml:space="preserve"> -</v>
      </c>
    </row>
  </sheetData>
  <mergeCells count="23">
    <mergeCell ref="M10:M11"/>
    <mergeCell ref="N10:N11"/>
    <mergeCell ref="B12:B21"/>
    <mergeCell ref="C12:C15"/>
    <mergeCell ref="D12:D15"/>
    <mergeCell ref="C17:C21"/>
    <mergeCell ref="D17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dataValidations count="1">
    <dataValidation type="whole" operator="lessThanOrEqual" allowBlank="1" showErrorMessage="1" errorTitle="Error" error="¡El valor ejecutado no puede superar el programado!" sqref="Q12:Q15 Q23 Q17 Q19:Q21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9" t="s">
        <v>16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2:20" ht="20" customHeight="1">
      <c r="B3" s="209" t="s">
        <v>19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2:20" ht="20" customHeight="1">
      <c r="B4" s="209" t="s">
        <v>33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2018</v>
      </c>
      <c r="C8" s="82">
        <v>43373</v>
      </c>
      <c r="D8" s="210" t="s">
        <v>3</v>
      </c>
      <c r="E8" s="211"/>
      <c r="F8" s="211"/>
      <c r="G8" s="211"/>
      <c r="H8" s="211"/>
      <c r="I8" s="211"/>
      <c r="J8" s="211"/>
      <c r="K8" s="2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3" t="s">
        <v>17</v>
      </c>
      <c r="C9" s="216" t="s">
        <v>18</v>
      </c>
      <c r="D9" s="218" t="s">
        <v>0</v>
      </c>
      <c r="E9" s="221" t="s">
        <v>4</v>
      </c>
      <c r="F9" s="221"/>
      <c r="G9" s="221" t="s">
        <v>5</v>
      </c>
      <c r="H9" s="221"/>
      <c r="I9" s="221"/>
      <c r="J9" s="221"/>
      <c r="K9" s="223"/>
      <c r="L9" s="48"/>
      <c r="M9" s="218" t="s">
        <v>6</v>
      </c>
      <c r="N9" s="223"/>
      <c r="O9" s="233" t="s">
        <v>45</v>
      </c>
      <c r="P9" s="234"/>
      <c r="Q9" s="234"/>
      <c r="R9" s="234"/>
      <c r="S9" s="234"/>
      <c r="T9" s="235"/>
    </row>
    <row r="10" spans="2:20" ht="17" customHeight="1">
      <c r="B10" s="214"/>
      <c r="C10" s="217"/>
      <c r="D10" s="219"/>
      <c r="E10" s="222"/>
      <c r="F10" s="222"/>
      <c r="G10" s="222" t="s">
        <v>7</v>
      </c>
      <c r="H10" s="226" t="s">
        <v>43</v>
      </c>
      <c r="I10" s="226" t="s">
        <v>44</v>
      </c>
      <c r="J10" s="227" t="s">
        <v>1</v>
      </c>
      <c r="K10" s="224" t="s">
        <v>8</v>
      </c>
      <c r="L10" s="49"/>
      <c r="M10" s="229" t="s">
        <v>9</v>
      </c>
      <c r="N10" s="231" t="s">
        <v>10</v>
      </c>
      <c r="O10" s="236"/>
      <c r="P10" s="237"/>
      <c r="Q10" s="237"/>
      <c r="R10" s="237"/>
      <c r="S10" s="237"/>
      <c r="T10" s="238"/>
    </row>
    <row r="11" spans="2:20" ht="37.5" customHeight="1" thickBot="1">
      <c r="B11" s="215"/>
      <c r="C11" s="217"/>
      <c r="D11" s="220"/>
      <c r="E11" s="12" t="s">
        <v>11</v>
      </c>
      <c r="F11" s="12" t="s">
        <v>12</v>
      </c>
      <c r="G11" s="226"/>
      <c r="H11" s="239"/>
      <c r="I11" s="239"/>
      <c r="J11" s="228"/>
      <c r="K11" s="225"/>
      <c r="L11" s="50"/>
      <c r="M11" s="230"/>
      <c r="N11" s="23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44" t="s">
        <v>37</v>
      </c>
      <c r="C12" s="244" t="s">
        <v>38</v>
      </c>
      <c r="D12" s="240" t="s">
        <v>41</v>
      </c>
      <c r="E12" s="19">
        <v>43101</v>
      </c>
      <c r="F12" s="19">
        <v>43465</v>
      </c>
      <c r="G12" s="5" t="s">
        <v>24</v>
      </c>
      <c r="H12" s="76">
        <v>4</v>
      </c>
      <c r="I12" s="79">
        <f>+J12+('2017'!I12-'2017'!K12)</f>
        <v>2</v>
      </c>
      <c r="J12" s="20">
        <v>2</v>
      </c>
      <c r="K12" s="37">
        <v>0</v>
      </c>
      <c r="L12" s="52">
        <f>+K12/J12</f>
        <v>0</v>
      </c>
      <c r="M12" s="42">
        <f>DAYS360(E12,$C$8)/DAYS360(E12,F12)</f>
        <v>0.74722222222222223</v>
      </c>
      <c r="N12" s="43">
        <f>IF(J12=0," -",IF(L12&gt;100%,100%,L12))</f>
        <v>0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45"/>
      <c r="C13" s="245"/>
      <c r="D13" s="241"/>
      <c r="E13" s="17">
        <v>43101</v>
      </c>
      <c r="F13" s="17">
        <v>43465</v>
      </c>
      <c r="G13" s="6" t="s">
        <v>25</v>
      </c>
      <c r="H13" s="77">
        <v>4</v>
      </c>
      <c r="I13" s="79">
        <f>+J13+('2017'!I13-'2017'!K13)</f>
        <v>1.5</v>
      </c>
      <c r="J13" s="18">
        <v>1</v>
      </c>
      <c r="K13" s="38">
        <v>4</v>
      </c>
      <c r="L13" s="53">
        <f>+K13/J13</f>
        <v>4</v>
      </c>
      <c r="M13" s="44">
        <f>DAYS360(E13,$C$8)/DAYS360(E13,F13)</f>
        <v>0.74722222222222223</v>
      </c>
      <c r="N13" s="45">
        <f>IF(J13=0," -",IF(L13&gt;100%,100%,L13))</f>
        <v>1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45"/>
      <c r="C14" s="245"/>
      <c r="D14" s="241"/>
      <c r="E14" s="17">
        <v>43101</v>
      </c>
      <c r="F14" s="17">
        <v>43465</v>
      </c>
      <c r="G14" s="6" t="s">
        <v>26</v>
      </c>
      <c r="H14" s="77">
        <v>4</v>
      </c>
      <c r="I14" s="79">
        <f>+J14+('2017'!I14-'2017'!K14)</f>
        <v>1</v>
      </c>
      <c r="J14" s="18">
        <v>1</v>
      </c>
      <c r="K14" s="38">
        <v>4</v>
      </c>
      <c r="L14" s="53">
        <f t="shared" ref="L14:L15" si="2">+K14/J14</f>
        <v>4</v>
      </c>
      <c r="M14" s="44">
        <f t="shared" ref="M14:M23" si="3">DAYS360(E14,$C$8)/DAYS360(E14,F14)</f>
        <v>0.74722222222222223</v>
      </c>
      <c r="N14" s="45">
        <f t="shared" ref="N14:N21" si="4">IF(J14=0," -",IF(L14&gt;100%,100%,L14))</f>
        <v>1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45"/>
      <c r="C15" s="246"/>
      <c r="D15" s="242"/>
      <c r="E15" s="22">
        <v>43101</v>
      </c>
      <c r="F15" s="22">
        <v>43465</v>
      </c>
      <c r="G15" s="23" t="s">
        <v>27</v>
      </c>
      <c r="H15" s="78">
        <v>8</v>
      </c>
      <c r="I15" s="79">
        <f>+J15+('2017'!I15-'2017'!K15)</f>
        <v>4.8</v>
      </c>
      <c r="J15" s="24">
        <v>3</v>
      </c>
      <c r="K15" s="39">
        <v>0</v>
      </c>
      <c r="L15" s="53">
        <f t="shared" si="2"/>
        <v>0</v>
      </c>
      <c r="M15" s="44">
        <f t="shared" si="3"/>
        <v>0.74722222222222223</v>
      </c>
      <c r="N15" s="45">
        <f t="shared" si="4"/>
        <v>0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45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45"/>
      <c r="C17" s="244" t="s">
        <v>39</v>
      </c>
      <c r="D17" s="243" t="s">
        <v>40</v>
      </c>
      <c r="E17" s="29">
        <v>43101</v>
      </c>
      <c r="F17" s="29">
        <v>43465</v>
      </c>
      <c r="G17" s="30" t="s">
        <v>28</v>
      </c>
      <c r="H17" s="79">
        <v>1</v>
      </c>
      <c r="I17" s="79">
        <f>+J17+('2017'!I17-'2017'!K17)</f>
        <v>-5.0000000000000044E-2</v>
      </c>
      <c r="J17" s="31">
        <v>0</v>
      </c>
      <c r="K17" s="40">
        <v>1</v>
      </c>
      <c r="L17" s="52" t="e">
        <f>+K17/J17</f>
        <v>#DIV/0!</v>
      </c>
      <c r="M17" s="44">
        <f t="shared" si="3"/>
        <v>0.74722222222222223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45"/>
      <c r="C18" s="245"/>
      <c r="D18" s="241"/>
      <c r="E18" s="17">
        <v>43101</v>
      </c>
      <c r="F18" s="17">
        <v>43465</v>
      </c>
      <c r="G18" s="6" t="s">
        <v>29</v>
      </c>
      <c r="H18" s="77">
        <v>1</v>
      </c>
      <c r="I18" s="79">
        <f>+J18</f>
        <v>1</v>
      </c>
      <c r="J18" s="18">
        <v>1</v>
      </c>
      <c r="K18" s="101">
        <v>0.9</v>
      </c>
      <c r="L18" s="53">
        <f>+K18/J18</f>
        <v>0.9</v>
      </c>
      <c r="M18" s="44">
        <f t="shared" si="3"/>
        <v>0.74722222222222223</v>
      </c>
      <c r="N18" s="45">
        <f t="shared" si="4"/>
        <v>0.9</v>
      </c>
      <c r="O18" s="64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45"/>
      <c r="C19" s="245"/>
      <c r="D19" s="241"/>
      <c r="E19" s="17">
        <v>43101</v>
      </c>
      <c r="F19" s="17">
        <v>43465</v>
      </c>
      <c r="G19" s="6" t="s">
        <v>30</v>
      </c>
      <c r="H19" s="77">
        <v>1</v>
      </c>
      <c r="I19" s="79">
        <f>+J19</f>
        <v>1</v>
      </c>
      <c r="J19" s="18">
        <v>1</v>
      </c>
      <c r="K19" s="101">
        <v>0.6</v>
      </c>
      <c r="L19" s="53">
        <f t="shared" ref="L19:L21" si="5">+K19/J19</f>
        <v>0.6</v>
      </c>
      <c r="M19" s="44">
        <f t="shared" si="3"/>
        <v>0.74722222222222223</v>
      </c>
      <c r="N19" s="45">
        <f t="shared" si="4"/>
        <v>0.6</v>
      </c>
      <c r="O19" s="64" t="s">
        <v>46</v>
      </c>
      <c r="P19" s="18">
        <v>500000</v>
      </c>
      <c r="Q19" s="31">
        <v>500000</v>
      </c>
      <c r="R19" s="18">
        <v>0</v>
      </c>
      <c r="S19" s="32">
        <f t="shared" si="0"/>
        <v>1</v>
      </c>
      <c r="T19" s="67" t="str">
        <f t="shared" si="1"/>
        <v xml:space="preserve"> -</v>
      </c>
    </row>
    <row r="20" spans="2:20" ht="45">
      <c r="B20" s="245"/>
      <c r="C20" s="245"/>
      <c r="D20" s="241"/>
      <c r="E20" s="17">
        <v>43101</v>
      </c>
      <c r="F20" s="17">
        <v>43465</v>
      </c>
      <c r="G20" s="6" t="s">
        <v>31</v>
      </c>
      <c r="H20" s="77">
        <v>8</v>
      </c>
      <c r="I20" s="79">
        <f>+J20+('2017'!I20-'2017'!K20)</f>
        <v>3</v>
      </c>
      <c r="J20" s="18">
        <v>3</v>
      </c>
      <c r="K20" s="38">
        <v>1</v>
      </c>
      <c r="L20" s="53">
        <f t="shared" si="5"/>
        <v>0.33333333333333331</v>
      </c>
      <c r="M20" s="44">
        <f t="shared" si="3"/>
        <v>0.74722222222222223</v>
      </c>
      <c r="N20" s="45">
        <f t="shared" si="4"/>
        <v>0.33333333333333331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46"/>
      <c r="C21" s="246"/>
      <c r="D21" s="242"/>
      <c r="E21" s="22">
        <v>43101</v>
      </c>
      <c r="F21" s="22">
        <v>43465</v>
      </c>
      <c r="G21" s="23" t="s">
        <v>32</v>
      </c>
      <c r="H21" s="78">
        <v>8</v>
      </c>
      <c r="I21" s="79">
        <f>+J21+('2017'!I21-'2017'!K21)</f>
        <v>3</v>
      </c>
      <c r="J21" s="24">
        <v>3</v>
      </c>
      <c r="K21" s="39">
        <v>1</v>
      </c>
      <c r="L21" s="53">
        <f t="shared" si="5"/>
        <v>0.33333333333333331</v>
      </c>
      <c r="M21" s="44">
        <f t="shared" si="3"/>
        <v>0.74722222222222223</v>
      </c>
      <c r="N21" s="45">
        <f t="shared" si="4"/>
        <v>0.33333333333333331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43101</v>
      </c>
      <c r="F23" s="25">
        <v>43465</v>
      </c>
      <c r="G23" s="26" t="s">
        <v>34</v>
      </c>
      <c r="H23" s="80">
        <v>1</v>
      </c>
      <c r="I23" s="80">
        <f>+J23+('2017'!I23-'2017'!K23)</f>
        <v>1</v>
      </c>
      <c r="J23" s="27">
        <v>0</v>
      </c>
      <c r="K23" s="208">
        <v>0.45</v>
      </c>
      <c r="L23" s="56" t="e">
        <f>+K23/J23</f>
        <v>#DIV/0!</v>
      </c>
      <c r="M23" s="46">
        <f t="shared" si="3"/>
        <v>0.74722222222222223</v>
      </c>
      <c r="N23" s="47" t="str">
        <f>IF(J23=0," -",IF(L23&gt;100%,100%,L23))</f>
        <v xml:space="preserve"> -</v>
      </c>
      <c r="O23" s="60" t="s">
        <v>46</v>
      </c>
      <c r="P23" s="61">
        <v>280000</v>
      </c>
      <c r="Q23" s="61">
        <v>0</v>
      </c>
      <c r="R23" s="61">
        <v>0</v>
      </c>
      <c r="S23" s="62">
        <f t="shared" si="0"/>
        <v>0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0.74722222222222212</v>
      </c>
      <c r="N24" s="92">
        <f>+AVERAGE(N12:N15,N17:N21,N23)</f>
        <v>0.52083333333333337</v>
      </c>
      <c r="O24" s="93"/>
      <c r="P24" s="90">
        <f>+SUM(P12:P15,P17:P21,P23)</f>
        <v>1790880</v>
      </c>
      <c r="Q24" s="90">
        <f t="shared" ref="Q24:R24" si="6">+SUM(Q12:Q15,Q17:Q21,Q23)</f>
        <v>1510880</v>
      </c>
      <c r="R24" s="90">
        <f t="shared" si="6"/>
        <v>0</v>
      </c>
      <c r="S24" s="91">
        <f t="shared" si="0"/>
        <v>0.84365228267667292</v>
      </c>
      <c r="T24" s="92" t="str">
        <f t="shared" si="1"/>
        <v xml:space="preserve"> -</v>
      </c>
    </row>
  </sheetData>
  <mergeCells count="23">
    <mergeCell ref="M10:M11"/>
    <mergeCell ref="N10:N11"/>
    <mergeCell ref="B12:B21"/>
    <mergeCell ref="C12:C15"/>
    <mergeCell ref="D12:D15"/>
    <mergeCell ref="C17:C21"/>
    <mergeCell ref="D17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9" t="s">
        <v>16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2:20" ht="20" customHeight="1">
      <c r="B3" s="209" t="s">
        <v>19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2:20" ht="20" customHeight="1">
      <c r="B4" s="209" t="s">
        <v>33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2019</v>
      </c>
      <c r="C8" s="82"/>
      <c r="D8" s="210" t="s">
        <v>3</v>
      </c>
      <c r="E8" s="211"/>
      <c r="F8" s="211"/>
      <c r="G8" s="211"/>
      <c r="H8" s="211"/>
      <c r="I8" s="211"/>
      <c r="J8" s="211"/>
      <c r="K8" s="2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3" t="s">
        <v>17</v>
      </c>
      <c r="C9" s="216" t="s">
        <v>18</v>
      </c>
      <c r="D9" s="218" t="s">
        <v>0</v>
      </c>
      <c r="E9" s="221" t="s">
        <v>4</v>
      </c>
      <c r="F9" s="221"/>
      <c r="G9" s="221" t="s">
        <v>5</v>
      </c>
      <c r="H9" s="221"/>
      <c r="I9" s="221"/>
      <c r="J9" s="221"/>
      <c r="K9" s="223"/>
      <c r="L9" s="48"/>
      <c r="M9" s="218" t="s">
        <v>6</v>
      </c>
      <c r="N9" s="223"/>
      <c r="O9" s="233" t="s">
        <v>45</v>
      </c>
      <c r="P9" s="234"/>
      <c r="Q9" s="234"/>
      <c r="R9" s="234"/>
      <c r="S9" s="234"/>
      <c r="T9" s="235"/>
    </row>
    <row r="10" spans="2:20" ht="17" customHeight="1">
      <c r="B10" s="214"/>
      <c r="C10" s="217"/>
      <c r="D10" s="219"/>
      <c r="E10" s="222"/>
      <c r="F10" s="222"/>
      <c r="G10" s="222" t="s">
        <v>7</v>
      </c>
      <c r="H10" s="226" t="s">
        <v>43</v>
      </c>
      <c r="I10" s="226" t="s">
        <v>44</v>
      </c>
      <c r="J10" s="227" t="s">
        <v>1</v>
      </c>
      <c r="K10" s="224" t="s">
        <v>8</v>
      </c>
      <c r="L10" s="49"/>
      <c r="M10" s="229" t="s">
        <v>9</v>
      </c>
      <c r="N10" s="231" t="s">
        <v>10</v>
      </c>
      <c r="O10" s="236"/>
      <c r="P10" s="237"/>
      <c r="Q10" s="237"/>
      <c r="R10" s="237"/>
      <c r="S10" s="237"/>
      <c r="T10" s="238"/>
    </row>
    <row r="11" spans="2:20" ht="37.5" customHeight="1" thickBot="1">
      <c r="B11" s="215"/>
      <c r="C11" s="217"/>
      <c r="D11" s="220"/>
      <c r="E11" s="12" t="s">
        <v>11</v>
      </c>
      <c r="F11" s="12" t="s">
        <v>12</v>
      </c>
      <c r="G11" s="226"/>
      <c r="H11" s="239"/>
      <c r="I11" s="239"/>
      <c r="J11" s="228"/>
      <c r="K11" s="225"/>
      <c r="L11" s="50"/>
      <c r="M11" s="230"/>
      <c r="N11" s="23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44" t="s">
        <v>37</v>
      </c>
      <c r="C12" s="244" t="s">
        <v>38</v>
      </c>
      <c r="D12" s="240" t="s">
        <v>41</v>
      </c>
      <c r="E12" s="19">
        <v>43466</v>
      </c>
      <c r="F12" s="19">
        <v>43830</v>
      </c>
      <c r="G12" s="5" t="s">
        <v>24</v>
      </c>
      <c r="H12" s="76">
        <v>4</v>
      </c>
      <c r="I12" s="79">
        <f>+J12+('2018'!I12-'2018'!K12)</f>
        <v>3</v>
      </c>
      <c r="J12" s="20">
        <v>1</v>
      </c>
      <c r="K12" s="37"/>
      <c r="L12" s="52">
        <f>+K12/J12</f>
        <v>0</v>
      </c>
      <c r="M12" s="42">
        <f>DAYS360(E12,$C$8)/DAYS360(E12,F12)</f>
        <v>-119.00277777777778</v>
      </c>
      <c r="N12" s="43">
        <f>IF(J12=0," -",IF(L12&gt;100%,100%,L12))</f>
        <v>0</v>
      </c>
      <c r="O12" s="63" t="s">
        <v>46</v>
      </c>
      <c r="P12" s="20">
        <v>0</v>
      </c>
      <c r="Q12" s="20"/>
      <c r="R12" s="20"/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45"/>
      <c r="C13" s="245"/>
      <c r="D13" s="241"/>
      <c r="E13" s="17">
        <v>43466</v>
      </c>
      <c r="F13" s="17">
        <v>43830</v>
      </c>
      <c r="G13" s="6" t="s">
        <v>25</v>
      </c>
      <c r="H13" s="77">
        <v>4</v>
      </c>
      <c r="I13" s="79">
        <f>+J13+('2018'!I13-'2018'!K13)</f>
        <v>-1.5</v>
      </c>
      <c r="J13" s="18">
        <v>1</v>
      </c>
      <c r="K13" s="38"/>
      <c r="L13" s="53">
        <f>+K13/J13</f>
        <v>0</v>
      </c>
      <c r="M13" s="44">
        <f>DAYS360(E13,$C$8)/DAYS360(E13,F13)</f>
        <v>-119.00277777777778</v>
      </c>
      <c r="N13" s="45">
        <f>IF(J13=0," -",IF(L13&gt;100%,100%,L13))</f>
        <v>0</v>
      </c>
      <c r="O13" s="64" t="s">
        <v>46</v>
      </c>
      <c r="P13" s="18">
        <v>0</v>
      </c>
      <c r="Q13" s="31"/>
      <c r="R13" s="18"/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45"/>
      <c r="C14" s="245"/>
      <c r="D14" s="241"/>
      <c r="E14" s="17">
        <v>43466</v>
      </c>
      <c r="F14" s="17">
        <v>43830</v>
      </c>
      <c r="G14" s="6" t="s">
        <v>26</v>
      </c>
      <c r="H14" s="77">
        <v>4</v>
      </c>
      <c r="I14" s="79">
        <f>+J14+('2018'!I14-'2018'!K14)</f>
        <v>-1</v>
      </c>
      <c r="J14" s="18">
        <v>2</v>
      </c>
      <c r="K14" s="38"/>
      <c r="L14" s="53">
        <f t="shared" ref="L14:L15" si="2">+K14/J14</f>
        <v>0</v>
      </c>
      <c r="M14" s="44">
        <f t="shared" ref="M14:M23" si="3">DAYS360(E14,$C$8)/DAYS360(E14,F14)</f>
        <v>-119.00277777777778</v>
      </c>
      <c r="N14" s="45">
        <f t="shared" ref="N14:N21" si="4">IF(J14=0," -",IF(L14&gt;100%,100%,L14))</f>
        <v>0</v>
      </c>
      <c r="O14" s="64" t="s">
        <v>46</v>
      </c>
      <c r="P14" s="18">
        <v>0</v>
      </c>
      <c r="Q14" s="31"/>
      <c r="R14" s="18"/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45"/>
      <c r="C15" s="246"/>
      <c r="D15" s="242"/>
      <c r="E15" s="22">
        <v>43466</v>
      </c>
      <c r="F15" s="22">
        <v>43830</v>
      </c>
      <c r="G15" s="23" t="s">
        <v>27</v>
      </c>
      <c r="H15" s="78">
        <v>8</v>
      </c>
      <c r="I15" s="79">
        <f>+J15+('2018'!I15-'2018'!K15)</f>
        <v>7.8</v>
      </c>
      <c r="J15" s="24">
        <v>3</v>
      </c>
      <c r="K15" s="39"/>
      <c r="L15" s="53">
        <f t="shared" si="2"/>
        <v>0</v>
      </c>
      <c r="M15" s="44">
        <f t="shared" si="3"/>
        <v>-119.00277777777778</v>
      </c>
      <c r="N15" s="45">
        <f t="shared" si="4"/>
        <v>0</v>
      </c>
      <c r="O15" s="65" t="s">
        <v>46</v>
      </c>
      <c r="P15" s="66">
        <v>0</v>
      </c>
      <c r="Q15" s="27"/>
      <c r="R15" s="66"/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45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45"/>
      <c r="C17" s="244" t="s">
        <v>39</v>
      </c>
      <c r="D17" s="243" t="s">
        <v>40</v>
      </c>
      <c r="E17" s="29">
        <v>43466</v>
      </c>
      <c r="F17" s="29">
        <v>43830</v>
      </c>
      <c r="G17" s="30" t="s">
        <v>28</v>
      </c>
      <c r="H17" s="79">
        <v>1</v>
      </c>
      <c r="I17" s="79">
        <f>+J17+('2018'!I17-'2018'!K17)</f>
        <v>-1.05</v>
      </c>
      <c r="J17" s="31">
        <v>0</v>
      </c>
      <c r="K17" s="40"/>
      <c r="L17" s="52" t="e">
        <f>+K17/J17</f>
        <v>#DIV/0!</v>
      </c>
      <c r="M17" s="44">
        <f t="shared" si="3"/>
        <v>-119.00277777777778</v>
      </c>
      <c r="N17" s="45" t="str">
        <f t="shared" si="4"/>
        <v xml:space="preserve"> -</v>
      </c>
      <c r="O17" s="63">
        <v>0</v>
      </c>
      <c r="P17" s="20">
        <v>0</v>
      </c>
      <c r="Q17" s="20"/>
      <c r="R17" s="20"/>
      <c r="S17" s="21" t="str">
        <f t="shared" si="0"/>
        <v xml:space="preserve"> -</v>
      </c>
      <c r="T17" s="43" t="str">
        <f t="shared" si="1"/>
        <v xml:space="preserve"> -</v>
      </c>
    </row>
    <row r="18" spans="2:20" ht="75">
      <c r="B18" s="245"/>
      <c r="C18" s="245"/>
      <c r="D18" s="241"/>
      <c r="E18" s="17">
        <v>43466</v>
      </c>
      <c r="F18" s="17">
        <v>43830</v>
      </c>
      <c r="G18" s="6" t="s">
        <v>29</v>
      </c>
      <c r="H18" s="77">
        <v>1</v>
      </c>
      <c r="I18" s="79">
        <f>+J18</f>
        <v>1</v>
      </c>
      <c r="J18" s="18">
        <v>1</v>
      </c>
      <c r="K18" s="38"/>
      <c r="L18" s="53">
        <f>+K18/J18</f>
        <v>0</v>
      </c>
      <c r="M18" s="44">
        <f t="shared" si="3"/>
        <v>-119.00277777777778</v>
      </c>
      <c r="N18" s="45">
        <f t="shared" si="4"/>
        <v>0</v>
      </c>
      <c r="O18" s="64" t="s">
        <v>46</v>
      </c>
      <c r="P18" s="18">
        <v>0</v>
      </c>
      <c r="Q18" s="31"/>
      <c r="R18" s="18"/>
      <c r="S18" s="32" t="str">
        <f t="shared" si="0"/>
        <v xml:space="preserve"> -</v>
      </c>
      <c r="T18" s="67" t="str">
        <f t="shared" si="1"/>
        <v xml:space="preserve"> -</v>
      </c>
    </row>
    <row r="19" spans="2:20" ht="45">
      <c r="B19" s="245"/>
      <c r="C19" s="245"/>
      <c r="D19" s="241"/>
      <c r="E19" s="17">
        <v>43466</v>
      </c>
      <c r="F19" s="17">
        <v>43830</v>
      </c>
      <c r="G19" s="6" t="s">
        <v>30</v>
      </c>
      <c r="H19" s="77">
        <v>1</v>
      </c>
      <c r="I19" s="79">
        <f>+J19</f>
        <v>1</v>
      </c>
      <c r="J19" s="18">
        <v>1</v>
      </c>
      <c r="K19" s="38"/>
      <c r="L19" s="53">
        <f t="shared" ref="L19:L21" si="5">+K19/J19</f>
        <v>0</v>
      </c>
      <c r="M19" s="44">
        <f t="shared" si="3"/>
        <v>-119.00277777777778</v>
      </c>
      <c r="N19" s="45">
        <f t="shared" si="4"/>
        <v>0</v>
      </c>
      <c r="O19" s="64" t="s">
        <v>46</v>
      </c>
      <c r="P19" s="18">
        <v>0</v>
      </c>
      <c r="Q19" s="31"/>
      <c r="R19" s="18"/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45"/>
      <c r="C20" s="245"/>
      <c r="D20" s="241"/>
      <c r="E20" s="17">
        <v>43466</v>
      </c>
      <c r="F20" s="17">
        <v>43830</v>
      </c>
      <c r="G20" s="6" t="s">
        <v>31</v>
      </c>
      <c r="H20" s="77">
        <v>8</v>
      </c>
      <c r="I20" s="79">
        <f>+J20+('2018'!I20-'2018'!K20)</f>
        <v>5</v>
      </c>
      <c r="J20" s="18">
        <v>3</v>
      </c>
      <c r="K20" s="38"/>
      <c r="L20" s="53">
        <f t="shared" si="5"/>
        <v>0</v>
      </c>
      <c r="M20" s="44">
        <f t="shared" si="3"/>
        <v>-119.00277777777778</v>
      </c>
      <c r="N20" s="45">
        <f t="shared" si="4"/>
        <v>0</v>
      </c>
      <c r="O20" s="64" t="s">
        <v>46</v>
      </c>
      <c r="P20" s="18">
        <v>0</v>
      </c>
      <c r="Q20" s="31"/>
      <c r="R20" s="18"/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46"/>
      <c r="C21" s="246"/>
      <c r="D21" s="242"/>
      <c r="E21" s="22">
        <v>43466</v>
      </c>
      <c r="F21" s="22">
        <v>43830</v>
      </c>
      <c r="G21" s="23" t="s">
        <v>32</v>
      </c>
      <c r="H21" s="78">
        <v>8</v>
      </c>
      <c r="I21" s="79">
        <f>+J21+('2018'!I21-'2018'!K21)</f>
        <v>5</v>
      </c>
      <c r="J21" s="24">
        <v>3</v>
      </c>
      <c r="K21" s="39"/>
      <c r="L21" s="53">
        <f t="shared" si="5"/>
        <v>0</v>
      </c>
      <c r="M21" s="44">
        <f t="shared" si="3"/>
        <v>-119.00277777777778</v>
      </c>
      <c r="N21" s="45">
        <f t="shared" si="4"/>
        <v>0</v>
      </c>
      <c r="O21" s="65" t="s">
        <v>46</v>
      </c>
      <c r="P21" s="66">
        <v>0</v>
      </c>
      <c r="Q21" s="27"/>
      <c r="R21" s="66"/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43466</v>
      </c>
      <c r="F23" s="25">
        <v>43830</v>
      </c>
      <c r="G23" s="26" t="s">
        <v>34</v>
      </c>
      <c r="H23" s="80">
        <v>1</v>
      </c>
      <c r="I23" s="80">
        <f>+J23+('2018'!I23-'2018'!K23)</f>
        <v>0.55000000000000004</v>
      </c>
      <c r="J23" s="27">
        <v>0</v>
      </c>
      <c r="K23" s="41"/>
      <c r="L23" s="56" t="e">
        <f>+K23/J23</f>
        <v>#DIV/0!</v>
      </c>
      <c r="M23" s="46">
        <f t="shared" si="3"/>
        <v>-119.00277777777778</v>
      </c>
      <c r="N23" s="47" t="str">
        <f>IF(J23=0," -",IF(L23&gt;100%,100%,L23))</f>
        <v xml:space="preserve"> -</v>
      </c>
      <c r="O23" s="60" t="s">
        <v>46</v>
      </c>
      <c r="P23" s="61">
        <v>0</v>
      </c>
      <c r="Q23" s="61"/>
      <c r="R23" s="61"/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-119.00277777777777</v>
      </c>
      <c r="N24" s="92">
        <f>+AVERAGE(N12:N15,N17:N21,N23)</f>
        <v>0</v>
      </c>
      <c r="O24" s="93"/>
      <c r="P24" s="90">
        <f>+SUM(P12:P15,P17:P21,P23)</f>
        <v>0</v>
      </c>
      <c r="Q24" s="90">
        <f t="shared" ref="Q24:R24" si="6">+SUM(Q12:Q15,Q17:Q21,Q23)</f>
        <v>0</v>
      </c>
      <c r="R24" s="90">
        <f t="shared" si="6"/>
        <v>0</v>
      </c>
      <c r="S24" s="91" t="str">
        <f t="shared" si="0"/>
        <v xml:space="preserve"> -</v>
      </c>
      <c r="T24" s="92" t="str">
        <f t="shared" si="1"/>
        <v xml:space="preserve"> -</v>
      </c>
    </row>
  </sheetData>
  <mergeCells count="23">
    <mergeCell ref="M10:M11"/>
    <mergeCell ref="N10:N11"/>
    <mergeCell ref="B12:B21"/>
    <mergeCell ref="C12:C15"/>
    <mergeCell ref="D12:D15"/>
    <mergeCell ref="C17:C21"/>
    <mergeCell ref="D17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43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09" t="s">
        <v>16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</row>
    <row r="3" spans="2:25" ht="20" customHeight="1">
      <c r="B3" s="209" t="s">
        <v>19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</row>
    <row r="4" spans="2:25" ht="20" customHeight="1">
      <c r="B4" s="209" t="s">
        <v>33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1" t="s">
        <v>48</v>
      </c>
      <c r="C8" s="82">
        <f>+'2018'!C8</f>
        <v>43373</v>
      </c>
      <c r="D8" s="210" t="s">
        <v>3</v>
      </c>
      <c r="E8" s="211"/>
      <c r="F8" s="211"/>
      <c r="G8" s="211"/>
      <c r="H8" s="249"/>
      <c r="I8" s="249"/>
      <c r="J8" s="249"/>
      <c r="K8" s="249"/>
      <c r="L8" s="249"/>
      <c r="M8" s="249"/>
      <c r="N8" s="21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13" t="s">
        <v>17</v>
      </c>
      <c r="C9" s="216" t="s">
        <v>18</v>
      </c>
      <c r="D9" s="218" t="s">
        <v>0</v>
      </c>
      <c r="E9" s="253" t="s">
        <v>5</v>
      </c>
      <c r="F9" s="254"/>
      <c r="G9" s="254"/>
      <c r="H9" s="254"/>
      <c r="I9" s="254"/>
      <c r="J9" s="254"/>
      <c r="K9" s="254"/>
      <c r="L9" s="254"/>
      <c r="M9" s="254"/>
      <c r="N9" s="255"/>
      <c r="O9" s="250" t="s">
        <v>47</v>
      </c>
      <c r="P9" s="251"/>
      <c r="Q9" s="251"/>
      <c r="R9" s="251"/>
      <c r="S9" s="252"/>
      <c r="T9" s="233" t="s">
        <v>49</v>
      </c>
      <c r="U9" s="234"/>
      <c r="V9" s="234"/>
      <c r="W9" s="234"/>
      <c r="X9" s="234"/>
      <c r="Y9" s="235"/>
    </row>
    <row r="10" spans="2:25" ht="17" customHeight="1">
      <c r="B10" s="214"/>
      <c r="C10" s="217"/>
      <c r="D10" s="219"/>
      <c r="E10" s="222" t="s">
        <v>7</v>
      </c>
      <c r="F10" s="226" t="s">
        <v>43</v>
      </c>
      <c r="G10" s="97" t="s">
        <v>1</v>
      </c>
      <c r="H10" s="98" t="s">
        <v>1</v>
      </c>
      <c r="I10" s="102" t="s">
        <v>1</v>
      </c>
      <c r="J10" s="102" t="s">
        <v>1</v>
      </c>
      <c r="K10" s="104" t="s">
        <v>8</v>
      </c>
      <c r="L10" s="102" t="s">
        <v>8</v>
      </c>
      <c r="M10" s="102" t="s">
        <v>8</v>
      </c>
      <c r="N10" s="96" t="s">
        <v>8</v>
      </c>
      <c r="O10" s="256">
        <v>2016</v>
      </c>
      <c r="P10" s="247">
        <v>2017</v>
      </c>
      <c r="Q10" s="262">
        <v>2018</v>
      </c>
      <c r="R10" s="260">
        <v>2019</v>
      </c>
      <c r="S10" s="258" t="s">
        <v>48</v>
      </c>
      <c r="T10" s="236"/>
      <c r="U10" s="237"/>
      <c r="V10" s="237"/>
      <c r="W10" s="237"/>
      <c r="X10" s="237"/>
      <c r="Y10" s="238"/>
    </row>
    <row r="11" spans="2:25" ht="37.5" customHeight="1" thickBot="1">
      <c r="B11" s="215"/>
      <c r="C11" s="217"/>
      <c r="D11" s="220"/>
      <c r="E11" s="226"/>
      <c r="F11" s="239"/>
      <c r="G11" s="99">
        <v>2016</v>
      </c>
      <c r="H11" s="105">
        <v>2017</v>
      </c>
      <c r="I11" s="103">
        <v>2018</v>
      </c>
      <c r="J11" s="103">
        <v>2019</v>
      </c>
      <c r="K11" s="106">
        <v>2016</v>
      </c>
      <c r="L11" s="105">
        <v>2017</v>
      </c>
      <c r="M11" s="103">
        <v>2018</v>
      </c>
      <c r="N11" s="107">
        <v>2019</v>
      </c>
      <c r="O11" s="257"/>
      <c r="P11" s="248"/>
      <c r="Q11" s="263"/>
      <c r="R11" s="261"/>
      <c r="S11" s="259"/>
      <c r="T11" s="13" t="s">
        <v>23</v>
      </c>
      <c r="U11" s="141" t="s">
        <v>20</v>
      </c>
      <c r="V11" s="141" t="s">
        <v>21</v>
      </c>
      <c r="W11" s="141" t="s">
        <v>22</v>
      </c>
      <c r="X11" s="15" t="s">
        <v>14</v>
      </c>
      <c r="Y11" s="16" t="s">
        <v>15</v>
      </c>
    </row>
    <row r="12" spans="2:25" ht="45">
      <c r="B12" s="244" t="s">
        <v>37</v>
      </c>
      <c r="C12" s="244" t="s">
        <v>38</v>
      </c>
      <c r="D12" s="240" t="s">
        <v>41</v>
      </c>
      <c r="E12" s="5" t="s">
        <v>24</v>
      </c>
      <c r="F12" s="76">
        <v>4</v>
      </c>
      <c r="G12" s="20">
        <f>'2016'!J12</f>
        <v>0</v>
      </c>
      <c r="H12" s="37">
        <f>'2017'!J12</f>
        <v>1</v>
      </c>
      <c r="I12" s="37">
        <f>'2018'!J12</f>
        <v>2</v>
      </c>
      <c r="J12" s="37">
        <f>'2019'!J12</f>
        <v>1</v>
      </c>
      <c r="K12" s="108">
        <f>'2016'!K12</f>
        <v>0</v>
      </c>
      <c r="L12" s="100">
        <f>'2017'!K12</f>
        <v>1</v>
      </c>
      <c r="M12" s="37">
        <f>'2018'!K12</f>
        <v>0</v>
      </c>
      <c r="N12" s="109">
        <f>'2019'!K12</f>
        <v>0</v>
      </c>
      <c r="O12" s="118" t="str">
        <f>'2016'!N12</f>
        <v xml:space="preserve"> -</v>
      </c>
      <c r="P12" s="119">
        <f>'2017'!N12</f>
        <v>1</v>
      </c>
      <c r="Q12" s="124">
        <f>'2018'!N12</f>
        <v>0</v>
      </c>
      <c r="R12" s="119">
        <f>'2019'!N12</f>
        <v>0</v>
      </c>
      <c r="S12" s="137">
        <v>0.25</v>
      </c>
      <c r="T12" s="63" t="s">
        <v>46</v>
      </c>
      <c r="U12" s="31">
        <f>+'2016'!P12+'2017'!P12</f>
        <v>4000</v>
      </c>
      <c r="V12" s="31">
        <f>+'2016'!Q12+'2017'!Q12</f>
        <v>4000</v>
      </c>
      <c r="W12" s="31">
        <f>+'2016'!R12+'2017'!R12</f>
        <v>0</v>
      </c>
      <c r="X12" s="21">
        <f>IF(U12=0," -",V12/U12)</f>
        <v>1</v>
      </c>
      <c r="Y12" s="43" t="str">
        <f>IF(W12=0," -",IF(V12=0,100%,W12/V12))</f>
        <v xml:space="preserve"> -</v>
      </c>
    </row>
    <row r="13" spans="2:25" ht="30">
      <c r="B13" s="245"/>
      <c r="C13" s="245"/>
      <c r="D13" s="241"/>
      <c r="E13" s="6" t="s">
        <v>25</v>
      </c>
      <c r="F13" s="77">
        <v>4</v>
      </c>
      <c r="G13" s="18">
        <f>'2016'!J13</f>
        <v>0</v>
      </c>
      <c r="H13" s="38">
        <f>'2017'!J13</f>
        <v>2</v>
      </c>
      <c r="I13" s="38">
        <f>'2018'!J13</f>
        <v>1</v>
      </c>
      <c r="J13" s="38">
        <f>'2019'!J13</f>
        <v>1</v>
      </c>
      <c r="K13" s="110">
        <f>'2016'!K13</f>
        <v>0</v>
      </c>
      <c r="L13" s="101">
        <f>'2017'!K13</f>
        <v>1.5</v>
      </c>
      <c r="M13" s="38">
        <f>'2018'!K13</f>
        <v>4</v>
      </c>
      <c r="N13" s="111">
        <f>'2019'!K13</f>
        <v>0</v>
      </c>
      <c r="O13" s="120" t="str">
        <f>'2016'!N13</f>
        <v xml:space="preserve"> -</v>
      </c>
      <c r="P13" s="121">
        <f>'2017'!N13</f>
        <v>0.75</v>
      </c>
      <c r="Q13" s="125">
        <f>'2018'!N13</f>
        <v>1</v>
      </c>
      <c r="R13" s="121">
        <f>'2019'!N13</f>
        <v>0</v>
      </c>
      <c r="S13" s="138">
        <v>1</v>
      </c>
      <c r="T13" s="64" t="s">
        <v>46</v>
      </c>
      <c r="U13" s="18">
        <f>+'2016'!P13+'2017'!P13</f>
        <v>8000</v>
      </c>
      <c r="V13" s="18">
        <f>+'2016'!Q13+'2017'!Q13</f>
        <v>4333</v>
      </c>
      <c r="W13" s="18">
        <f>+'2016'!R13+'2017'!R13</f>
        <v>0</v>
      </c>
      <c r="X13" s="32">
        <f t="shared" ref="X13:X24" si="0">IF(U13=0," -",V13/U13)</f>
        <v>0.54162500000000002</v>
      </c>
      <c r="Y13" s="67" t="str">
        <f t="shared" ref="Y13:Y24" si="1">IF(W13=0," -",IF(V13=0,100%,W13/V13))</f>
        <v xml:space="preserve"> -</v>
      </c>
    </row>
    <row r="14" spans="2:25" ht="30">
      <c r="B14" s="245"/>
      <c r="C14" s="245"/>
      <c r="D14" s="241"/>
      <c r="E14" s="6" t="s">
        <v>26</v>
      </c>
      <c r="F14" s="77">
        <v>4</v>
      </c>
      <c r="G14" s="18">
        <f>'2016'!J14</f>
        <v>0</v>
      </c>
      <c r="H14" s="38">
        <f>'2017'!J14</f>
        <v>1</v>
      </c>
      <c r="I14" s="38">
        <f>'2018'!J14</f>
        <v>1</v>
      </c>
      <c r="J14" s="38">
        <f>'2019'!J14</f>
        <v>2</v>
      </c>
      <c r="K14" s="110">
        <f>'2016'!K14</f>
        <v>0</v>
      </c>
      <c r="L14" s="101">
        <f>'2017'!K14</f>
        <v>1</v>
      </c>
      <c r="M14" s="38">
        <f>'2018'!K14</f>
        <v>4</v>
      </c>
      <c r="N14" s="111">
        <f>'2019'!K14</f>
        <v>0</v>
      </c>
      <c r="O14" s="120" t="str">
        <f>'2016'!N14</f>
        <v xml:space="preserve"> -</v>
      </c>
      <c r="P14" s="121">
        <f>'2017'!N14</f>
        <v>1</v>
      </c>
      <c r="Q14" s="125">
        <f>'2018'!N14</f>
        <v>1</v>
      </c>
      <c r="R14" s="121">
        <f>'2019'!N14</f>
        <v>0</v>
      </c>
      <c r="S14" s="138">
        <v>1</v>
      </c>
      <c r="T14" s="64" t="s">
        <v>46</v>
      </c>
      <c r="U14" s="18">
        <f>+'2016'!P14+'2017'!P14</f>
        <v>4000</v>
      </c>
      <c r="V14" s="18">
        <f>+'2016'!Q14+'2017'!Q14</f>
        <v>4000</v>
      </c>
      <c r="W14" s="18">
        <f>+'2016'!R14+'2017'!R14</f>
        <v>0</v>
      </c>
      <c r="X14" s="32">
        <f t="shared" si="0"/>
        <v>1</v>
      </c>
      <c r="Y14" s="67" t="str">
        <f t="shared" si="1"/>
        <v xml:space="preserve"> -</v>
      </c>
    </row>
    <row r="15" spans="2:25" ht="76" thickBot="1">
      <c r="B15" s="245"/>
      <c r="C15" s="246"/>
      <c r="D15" s="242"/>
      <c r="E15" s="23" t="s">
        <v>27</v>
      </c>
      <c r="F15" s="78">
        <v>8</v>
      </c>
      <c r="G15" s="24">
        <f>'2016'!J15</f>
        <v>0</v>
      </c>
      <c r="H15" s="39">
        <f>'2017'!J15</f>
        <v>2</v>
      </c>
      <c r="I15" s="39">
        <f>'2018'!J15</f>
        <v>3</v>
      </c>
      <c r="J15" s="39">
        <f>'2019'!J15</f>
        <v>3</v>
      </c>
      <c r="K15" s="112">
        <f>'2016'!K15</f>
        <v>0</v>
      </c>
      <c r="L15" s="130">
        <f>'2017'!K15</f>
        <v>0.2</v>
      </c>
      <c r="M15" s="113">
        <f>'2018'!K15</f>
        <v>0</v>
      </c>
      <c r="N15" s="114">
        <f>'2019'!K15</f>
        <v>0</v>
      </c>
      <c r="O15" s="120" t="str">
        <f>'2016'!N15</f>
        <v xml:space="preserve"> -</v>
      </c>
      <c r="P15" s="121">
        <f>'2017'!N15</f>
        <v>0.1</v>
      </c>
      <c r="Q15" s="126">
        <f>'2018'!N15</f>
        <v>0</v>
      </c>
      <c r="R15" s="121">
        <f>'2019'!N15</f>
        <v>0</v>
      </c>
      <c r="S15" s="138">
        <v>2.5000000000000001E-2</v>
      </c>
      <c r="T15" s="65" t="s">
        <v>46</v>
      </c>
      <c r="U15" s="18">
        <f>+'2016'!P15+'2017'!P15</f>
        <v>5000</v>
      </c>
      <c r="V15" s="18">
        <f>+'2016'!Q15+'2017'!Q15</f>
        <v>667</v>
      </c>
      <c r="W15" s="66">
        <f>+'2016'!R15+'2017'!R15</f>
        <v>0</v>
      </c>
      <c r="X15" s="28">
        <f t="shared" si="0"/>
        <v>0.13339999999999999</v>
      </c>
      <c r="Y15" s="71" t="str">
        <f t="shared" si="1"/>
        <v xml:space="preserve"> -</v>
      </c>
    </row>
    <row r="16" spans="2:25" ht="13" customHeight="1" thickBot="1">
      <c r="B16" s="245"/>
      <c r="C16" s="33"/>
      <c r="D16" s="33"/>
      <c r="E16" s="36"/>
      <c r="F16" s="75"/>
      <c r="G16" s="75"/>
      <c r="H16" s="75"/>
      <c r="I16" s="75"/>
      <c r="J16" s="75"/>
      <c r="K16" s="75"/>
      <c r="L16" s="131"/>
      <c r="M16" s="75"/>
      <c r="N16" s="75"/>
      <c r="O16" s="134"/>
      <c r="P16" s="134"/>
      <c r="Q16" s="134"/>
      <c r="R16" s="134"/>
      <c r="S16" s="139"/>
      <c r="T16" s="68"/>
      <c r="U16" s="134"/>
      <c r="V16" s="139"/>
      <c r="W16" s="68"/>
      <c r="X16" s="70"/>
      <c r="Y16" s="83"/>
    </row>
    <row r="17" spans="2:25" ht="75">
      <c r="B17" s="245"/>
      <c r="C17" s="244" t="s">
        <v>39</v>
      </c>
      <c r="D17" s="243" t="s">
        <v>40</v>
      </c>
      <c r="E17" s="30" t="s">
        <v>28</v>
      </c>
      <c r="F17" s="79">
        <v>1</v>
      </c>
      <c r="G17" s="31">
        <f>'2016'!J17</f>
        <v>0</v>
      </c>
      <c r="H17" s="40">
        <f>'2017'!J17</f>
        <v>1</v>
      </c>
      <c r="I17" s="40">
        <f>'2018'!J17</f>
        <v>0</v>
      </c>
      <c r="J17" s="40">
        <f>'2019'!J17</f>
        <v>0</v>
      </c>
      <c r="K17" s="128">
        <f>'2016'!K17</f>
        <v>0.25</v>
      </c>
      <c r="L17" s="133">
        <f>'2017'!K17</f>
        <v>0.8</v>
      </c>
      <c r="M17" s="37">
        <f>'2018'!K17</f>
        <v>1</v>
      </c>
      <c r="N17" s="109">
        <f>'2019'!K17</f>
        <v>0</v>
      </c>
      <c r="O17" s="120" t="str">
        <f>'2016'!N17</f>
        <v xml:space="preserve"> -</v>
      </c>
      <c r="P17" s="121">
        <f>'2017'!N17</f>
        <v>0.8</v>
      </c>
      <c r="Q17" s="125" t="str">
        <f>'2018'!N17</f>
        <v xml:space="preserve"> -</v>
      </c>
      <c r="R17" s="121" t="str">
        <f>'2019'!N17</f>
        <v xml:space="preserve"> -</v>
      </c>
      <c r="S17" s="138">
        <v>1</v>
      </c>
      <c r="T17" s="63">
        <v>0</v>
      </c>
      <c r="U17" s="18">
        <f>+'2016'!P17+'2017'!P17</f>
        <v>1010880</v>
      </c>
      <c r="V17" s="18">
        <f>+'2016'!Q17+'2017'!Q17</f>
        <v>1010880</v>
      </c>
      <c r="W17" s="18">
        <f>+'2016'!R17+'2017'!R17</f>
        <v>0</v>
      </c>
      <c r="X17" s="21">
        <f t="shared" si="0"/>
        <v>1</v>
      </c>
      <c r="Y17" s="43" t="str">
        <f t="shared" si="1"/>
        <v xml:space="preserve"> -</v>
      </c>
    </row>
    <row r="18" spans="2:25" ht="75">
      <c r="B18" s="245"/>
      <c r="C18" s="245"/>
      <c r="D18" s="241"/>
      <c r="E18" s="6" t="s">
        <v>29</v>
      </c>
      <c r="F18" s="77">
        <v>1</v>
      </c>
      <c r="G18" s="18">
        <f>'2016'!J18</f>
        <v>0</v>
      </c>
      <c r="H18" s="38">
        <f>'2017'!J18</f>
        <v>1</v>
      </c>
      <c r="I18" s="38">
        <f>'2018'!J18</f>
        <v>1</v>
      </c>
      <c r="J18" s="38">
        <f>'2019'!J18</f>
        <v>1</v>
      </c>
      <c r="K18" s="129">
        <f>'2016'!K18</f>
        <v>0.25</v>
      </c>
      <c r="L18" s="38">
        <f>'2017'!K18</f>
        <v>0.8</v>
      </c>
      <c r="M18" s="38">
        <f>'2018'!K18</f>
        <v>0.9</v>
      </c>
      <c r="N18" s="111">
        <f>'2019'!K18</f>
        <v>0</v>
      </c>
      <c r="O18" s="120" t="str">
        <f>'2016'!N18</f>
        <v xml:space="preserve"> -</v>
      </c>
      <c r="P18" s="121">
        <f>'2017'!N18</f>
        <v>0.8</v>
      </c>
      <c r="Q18" s="125">
        <f>'2018'!N18</f>
        <v>0.9</v>
      </c>
      <c r="R18" s="121">
        <f>'2019'!N18</f>
        <v>0</v>
      </c>
      <c r="S18" s="138">
        <v>0.54999999999999993</v>
      </c>
      <c r="T18" s="64" t="s">
        <v>46</v>
      </c>
      <c r="U18" s="18">
        <f>+'2016'!P18+'2017'!P18</f>
        <v>1010880</v>
      </c>
      <c r="V18" s="18">
        <f>+'2016'!Q18+'2017'!Q18</f>
        <v>1010880</v>
      </c>
      <c r="W18" s="18">
        <f>+'2016'!R18+'2017'!R18</f>
        <v>0</v>
      </c>
      <c r="X18" s="32">
        <f t="shared" si="0"/>
        <v>1</v>
      </c>
      <c r="Y18" s="67" t="str">
        <f t="shared" si="1"/>
        <v xml:space="preserve"> -</v>
      </c>
    </row>
    <row r="19" spans="2:25" ht="45">
      <c r="B19" s="245"/>
      <c r="C19" s="245"/>
      <c r="D19" s="241"/>
      <c r="E19" s="6" t="s">
        <v>30</v>
      </c>
      <c r="F19" s="77">
        <v>1</v>
      </c>
      <c r="G19" s="18">
        <f>'2016'!J19</f>
        <v>0</v>
      </c>
      <c r="H19" s="38">
        <f>'2017'!J19</f>
        <v>1</v>
      </c>
      <c r="I19" s="38">
        <f>'2018'!J19</f>
        <v>1</v>
      </c>
      <c r="J19" s="38">
        <f>'2019'!J19</f>
        <v>1</v>
      </c>
      <c r="K19" s="110">
        <f>'2016'!K19</f>
        <v>0</v>
      </c>
      <c r="L19" s="38">
        <f>'2017'!K19</f>
        <v>0</v>
      </c>
      <c r="M19" s="38">
        <f>'2018'!K19</f>
        <v>0.6</v>
      </c>
      <c r="N19" s="111">
        <f>'2019'!K19</f>
        <v>0</v>
      </c>
      <c r="O19" s="120" t="str">
        <f>'2016'!N19</f>
        <v xml:space="preserve"> -</v>
      </c>
      <c r="P19" s="121">
        <f>'2017'!N19</f>
        <v>0</v>
      </c>
      <c r="Q19" s="125">
        <f>'2018'!N19</f>
        <v>0.6</v>
      </c>
      <c r="R19" s="121">
        <f>'2019'!N19</f>
        <v>0</v>
      </c>
      <c r="S19" s="138">
        <v>8.3333333333333329E-2</v>
      </c>
      <c r="T19" s="64" t="s">
        <v>46</v>
      </c>
      <c r="U19" s="18">
        <f>+'2016'!P19+'2017'!P19</f>
        <v>0</v>
      </c>
      <c r="V19" s="18">
        <f>+'2016'!Q19+'2017'!Q19</f>
        <v>0</v>
      </c>
      <c r="W19" s="18">
        <f>+'2016'!R19+'2017'!R19</f>
        <v>0</v>
      </c>
      <c r="X19" s="32" t="str">
        <f t="shared" si="0"/>
        <v xml:space="preserve"> -</v>
      </c>
      <c r="Y19" s="67" t="str">
        <f t="shared" si="1"/>
        <v xml:space="preserve"> -</v>
      </c>
    </row>
    <row r="20" spans="2:25" ht="45">
      <c r="B20" s="245"/>
      <c r="C20" s="245"/>
      <c r="D20" s="241"/>
      <c r="E20" s="6" t="s">
        <v>31</v>
      </c>
      <c r="F20" s="77">
        <v>8</v>
      </c>
      <c r="G20" s="18">
        <f>'2016'!J20</f>
        <v>0</v>
      </c>
      <c r="H20" s="38">
        <f>'2017'!J20</f>
        <v>2</v>
      </c>
      <c r="I20" s="38">
        <f>'2018'!J20</f>
        <v>3</v>
      </c>
      <c r="J20" s="38">
        <f>'2019'!J20</f>
        <v>3</v>
      </c>
      <c r="K20" s="110">
        <f>'2016'!K20</f>
        <v>0</v>
      </c>
      <c r="L20" s="101">
        <f>'2017'!K20</f>
        <v>2</v>
      </c>
      <c r="M20" s="38">
        <f>'2018'!K20</f>
        <v>1</v>
      </c>
      <c r="N20" s="111">
        <f>'2019'!K20</f>
        <v>0</v>
      </c>
      <c r="O20" s="120" t="str">
        <f>'2016'!N20</f>
        <v xml:space="preserve"> -</v>
      </c>
      <c r="P20" s="121">
        <f>'2017'!N20</f>
        <v>1</v>
      </c>
      <c r="Q20" s="125">
        <f>'2018'!N20</f>
        <v>0.33333333333333331</v>
      </c>
      <c r="R20" s="121">
        <f>'2019'!N20</f>
        <v>0</v>
      </c>
      <c r="S20" s="138">
        <v>0.375</v>
      </c>
      <c r="T20" s="64" t="s">
        <v>46</v>
      </c>
      <c r="U20" s="18">
        <f>+'2016'!P20+'2017'!P20</f>
        <v>5000</v>
      </c>
      <c r="V20" s="18">
        <f>+'2016'!Q20+'2017'!Q20</f>
        <v>5000</v>
      </c>
      <c r="W20" s="18">
        <f>+'2016'!R20+'2017'!R20</f>
        <v>0</v>
      </c>
      <c r="X20" s="32">
        <f t="shared" si="0"/>
        <v>1</v>
      </c>
      <c r="Y20" s="67" t="str">
        <f t="shared" si="1"/>
        <v xml:space="preserve"> -</v>
      </c>
    </row>
    <row r="21" spans="2:25" ht="46" thickBot="1">
      <c r="B21" s="246"/>
      <c r="C21" s="246"/>
      <c r="D21" s="242"/>
      <c r="E21" s="23" t="s">
        <v>32</v>
      </c>
      <c r="F21" s="78">
        <v>8</v>
      </c>
      <c r="G21" s="24">
        <f>'2016'!J21</f>
        <v>0</v>
      </c>
      <c r="H21" s="39">
        <f>'2017'!J21</f>
        <v>2</v>
      </c>
      <c r="I21" s="39">
        <f>'2018'!J21</f>
        <v>3</v>
      </c>
      <c r="J21" s="39">
        <f>'2019'!J21</f>
        <v>3</v>
      </c>
      <c r="K21" s="112">
        <f>'2016'!K21</f>
        <v>0</v>
      </c>
      <c r="L21" s="130">
        <f>'2017'!K21</f>
        <v>2</v>
      </c>
      <c r="M21" s="113">
        <f>'2018'!K21</f>
        <v>1</v>
      </c>
      <c r="N21" s="114">
        <f>'2019'!K21</f>
        <v>0</v>
      </c>
      <c r="O21" s="120" t="str">
        <f>'2016'!N21</f>
        <v xml:space="preserve"> -</v>
      </c>
      <c r="P21" s="121">
        <f>'2017'!N21</f>
        <v>1</v>
      </c>
      <c r="Q21" s="126">
        <f>'2018'!N21</f>
        <v>0.33333333333333331</v>
      </c>
      <c r="R21" s="121">
        <f>'2019'!N21</f>
        <v>0</v>
      </c>
      <c r="S21" s="138">
        <v>0.375</v>
      </c>
      <c r="T21" s="65" t="s">
        <v>46</v>
      </c>
      <c r="U21" s="18">
        <f>+'2016'!P21+'2017'!P21</f>
        <v>5000</v>
      </c>
      <c r="V21" s="18">
        <f>+'2016'!Q21+'2017'!Q21</f>
        <v>5000</v>
      </c>
      <c r="W21" s="18">
        <f>+'2016'!R21+'2017'!R21</f>
        <v>0</v>
      </c>
      <c r="X21" s="28">
        <f t="shared" si="0"/>
        <v>1</v>
      </c>
      <c r="Y21" s="71" t="str">
        <f t="shared" si="1"/>
        <v xml:space="preserve"> -</v>
      </c>
    </row>
    <row r="22" spans="2:25" ht="13" customHeight="1" thickBot="1">
      <c r="B22" s="10"/>
      <c r="C22" s="7"/>
      <c r="D22" s="7"/>
      <c r="E22" s="7"/>
      <c r="F22" s="8"/>
      <c r="G22" s="8"/>
      <c r="H22" s="8"/>
      <c r="I22" s="8"/>
      <c r="J22" s="8"/>
      <c r="K22" s="8"/>
      <c r="L22" s="132"/>
      <c r="M22" s="8"/>
      <c r="N22" s="8"/>
      <c r="O22" s="9"/>
      <c r="P22" s="9"/>
      <c r="Q22" s="9"/>
      <c r="R22" s="9"/>
      <c r="S22" s="140"/>
      <c r="T22" s="57"/>
      <c r="U22" s="9"/>
      <c r="V22" s="140"/>
      <c r="W22" s="57"/>
      <c r="X22" s="59"/>
      <c r="Y22" s="84"/>
    </row>
    <row r="23" spans="2:25" ht="46" thickBot="1">
      <c r="B23" s="72" t="s">
        <v>36</v>
      </c>
      <c r="C23" s="74" t="s">
        <v>42</v>
      </c>
      <c r="D23" s="73" t="s">
        <v>35</v>
      </c>
      <c r="E23" s="26" t="s">
        <v>34</v>
      </c>
      <c r="F23" s="80">
        <v>1</v>
      </c>
      <c r="G23" s="27">
        <f>'2016'!J23</f>
        <v>0</v>
      </c>
      <c r="H23" s="41">
        <f>'2017'!J23</f>
        <v>1</v>
      </c>
      <c r="I23" s="41">
        <f>'2018'!J23</f>
        <v>0</v>
      </c>
      <c r="J23" s="41">
        <f>'2019'!J23</f>
        <v>0</v>
      </c>
      <c r="K23" s="115">
        <f>'2016'!K23</f>
        <v>0</v>
      </c>
      <c r="L23" s="116">
        <f>'2017'!K23</f>
        <v>0</v>
      </c>
      <c r="M23" s="116">
        <f>'2018'!K23</f>
        <v>0.45</v>
      </c>
      <c r="N23" s="117">
        <f>'2019'!K23</f>
        <v>0</v>
      </c>
      <c r="O23" s="122" t="str">
        <f>'2016'!N23</f>
        <v xml:space="preserve"> -</v>
      </c>
      <c r="P23" s="123">
        <f>'2017'!N23</f>
        <v>0</v>
      </c>
      <c r="Q23" s="127" t="str">
        <f>'2018'!N23</f>
        <v xml:space="preserve"> -</v>
      </c>
      <c r="R23" s="123" t="str">
        <f>'2019'!N23</f>
        <v xml:space="preserve"> -</v>
      </c>
      <c r="S23" s="138">
        <v>0.45</v>
      </c>
      <c r="T23" s="60" t="s">
        <v>46</v>
      </c>
      <c r="U23" s="18">
        <f>+'2016'!P23+'2017'!P23</f>
        <v>0</v>
      </c>
      <c r="V23" s="18">
        <f>+'2016'!Q23+'2017'!Q23</f>
        <v>0</v>
      </c>
      <c r="W23" s="18">
        <f>+'2016'!R23+'2017'!R23</f>
        <v>0</v>
      </c>
      <c r="X23" s="62" t="str">
        <f t="shared" si="0"/>
        <v xml:space="preserve"> -</v>
      </c>
      <c r="Y23" s="47" t="str">
        <f t="shared" si="1"/>
        <v xml:space="preserve"> -</v>
      </c>
    </row>
    <row r="24" spans="2:25" ht="21" customHeight="1" thickBot="1">
      <c r="O24" s="135" t="s">
        <v>46</v>
      </c>
      <c r="P24" s="136">
        <f t="shared" ref="P24:S24" si="2">+AVERAGE(P12:P15,P17:P21,P23)</f>
        <v>0.64500000000000002</v>
      </c>
      <c r="Q24" s="136">
        <f t="shared" si="2"/>
        <v>0.52083333333333337</v>
      </c>
      <c r="R24" s="136">
        <f t="shared" si="2"/>
        <v>0</v>
      </c>
      <c r="S24" s="92">
        <f t="shared" si="2"/>
        <v>0.51083333333333336</v>
      </c>
      <c r="T24" s="93"/>
      <c r="U24" s="90">
        <f>+SUM(U12:U15,U17:U21,U23)</f>
        <v>2052760</v>
      </c>
      <c r="V24" s="90">
        <f t="shared" ref="V24:W24" si="3">+SUM(V12:V15,V17:V21,V23)</f>
        <v>2044760</v>
      </c>
      <c r="W24" s="90">
        <f t="shared" si="3"/>
        <v>0</v>
      </c>
      <c r="X24" s="91">
        <f t="shared" si="0"/>
        <v>0.99610280792688866</v>
      </c>
      <c r="Y24" s="92" t="str">
        <f t="shared" si="1"/>
        <v xml:space="preserve"> -</v>
      </c>
    </row>
  </sheetData>
  <mergeCells count="22">
    <mergeCell ref="B2:Y2"/>
    <mergeCell ref="B3:Y3"/>
    <mergeCell ref="B4:Y4"/>
    <mergeCell ref="D8:N8"/>
    <mergeCell ref="B9:B11"/>
    <mergeCell ref="C9:C11"/>
    <mergeCell ref="D9:D11"/>
    <mergeCell ref="O9:S9"/>
    <mergeCell ref="E9:N9"/>
    <mergeCell ref="T9:Y10"/>
    <mergeCell ref="E10:E11"/>
    <mergeCell ref="F10:F11"/>
    <mergeCell ref="O10:O11"/>
    <mergeCell ref="S10:S11"/>
    <mergeCell ref="R10:R11"/>
    <mergeCell ref="Q10:Q11"/>
    <mergeCell ref="P10:P11"/>
    <mergeCell ref="B12:B21"/>
    <mergeCell ref="C12:C15"/>
    <mergeCell ref="D12:D15"/>
    <mergeCell ref="C17:C21"/>
    <mergeCell ref="D17:D2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82" t="s">
        <v>69</v>
      </c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4"/>
    </row>
    <row r="4" spans="2:15" ht="16" thickBot="1">
      <c r="C4" s="142"/>
      <c r="D4" s="142"/>
      <c r="E4" s="142"/>
      <c r="F4" s="142"/>
      <c r="G4" s="142"/>
      <c r="H4" s="142"/>
      <c r="I4" s="142"/>
    </row>
    <row r="5" spans="2:15" ht="19" customHeight="1">
      <c r="C5" s="142"/>
      <c r="D5" s="142"/>
      <c r="E5" s="285" t="s">
        <v>50</v>
      </c>
      <c r="F5" s="286"/>
      <c r="G5" s="286"/>
      <c r="H5" s="286"/>
      <c r="I5" s="289" t="s">
        <v>47</v>
      </c>
      <c r="J5" s="290"/>
      <c r="K5" s="293" t="s">
        <v>51</v>
      </c>
      <c r="L5" s="294"/>
      <c r="M5" s="294"/>
      <c r="N5" s="294"/>
      <c r="O5" s="295"/>
    </row>
    <row r="6" spans="2:15" ht="19" customHeight="1" thickBot="1">
      <c r="E6" s="287"/>
      <c r="F6" s="288"/>
      <c r="G6" s="288"/>
      <c r="H6" s="288"/>
      <c r="I6" s="291"/>
      <c r="J6" s="292"/>
      <c r="K6" s="296" t="s">
        <v>48</v>
      </c>
      <c r="L6" s="297"/>
      <c r="M6" s="297"/>
      <c r="N6" s="297"/>
      <c r="O6" s="298"/>
    </row>
    <row r="7" spans="2:15" ht="32" customHeight="1" thickBot="1">
      <c r="C7" s="274"/>
      <c r="D7" s="275"/>
      <c r="E7" s="143">
        <v>2016</v>
      </c>
      <c r="F7" s="144">
        <v>2017</v>
      </c>
      <c r="G7" s="144">
        <v>2018</v>
      </c>
      <c r="H7" s="144">
        <v>2019</v>
      </c>
      <c r="I7" s="276" t="s">
        <v>48</v>
      </c>
      <c r="J7" s="277"/>
      <c r="K7" s="193" t="s">
        <v>52</v>
      </c>
      <c r="L7" s="194" t="s">
        <v>53</v>
      </c>
      <c r="M7" s="194" t="s">
        <v>54</v>
      </c>
      <c r="N7" s="194" t="s">
        <v>55</v>
      </c>
      <c r="O7" s="195" t="s">
        <v>56</v>
      </c>
    </row>
    <row r="8" spans="2:15" ht="22" customHeight="1" thickBot="1">
      <c r="B8" s="145">
        <v>1</v>
      </c>
      <c r="C8" s="278" t="s">
        <v>57</v>
      </c>
      <c r="D8" s="279"/>
      <c r="E8" s="146" t="str">
        <f>+IF(SUM('2016 - 2019'!G12:G21)&gt;0,AVERAGE('2016 - 2019'!O12:O21)," -")</f>
        <v xml:space="preserve"> -</v>
      </c>
      <c r="F8" s="146">
        <f>+IF(SUM('2016 - 2019'!H12:H21)&gt;0,AVERAGE('2016 - 2019'!P12:P21)," -")</f>
        <v>0.71666666666666667</v>
      </c>
      <c r="G8" s="146">
        <f>+IF(SUM('2016 - 2019'!I12:I21)&gt;0,AVERAGE('2016 - 2019'!Q12:Q21)," -")</f>
        <v>0.52083333333333337</v>
      </c>
      <c r="H8" s="146">
        <f>+IF(SUM('2016 - 2019'!J12:J21)&gt;0,AVERAGE('2016 - 2019'!R12:R21)," -")</f>
        <v>0</v>
      </c>
      <c r="I8" s="199">
        <f>+AVERAGE('2016 - 2019'!S12:S21)</f>
        <v>0.5175925925925926</v>
      </c>
      <c r="J8" s="147">
        <f t="shared" ref="J8:J12" si="0">+I8</f>
        <v>0.5175925925925926</v>
      </c>
      <c r="K8" s="148">
        <f>+K9+K11</f>
        <v>2052760</v>
      </c>
      <c r="L8" s="149">
        <f t="shared" ref="L8:M8" si="1">+L9+L11</f>
        <v>2044760</v>
      </c>
      <c r="M8" s="149">
        <f t="shared" si="1"/>
        <v>0</v>
      </c>
      <c r="N8" s="150">
        <f t="shared" ref="N8:N12" si="2">IF(K8=0,"-",+L8/K8)</f>
        <v>0.99610280792688866</v>
      </c>
      <c r="O8" s="151" t="str">
        <f>IF(M8=0," -",IF(L8=0,100%,M8/L8))</f>
        <v xml:space="preserve"> -</v>
      </c>
    </row>
    <row r="9" spans="2:15" ht="20" customHeight="1">
      <c r="B9" s="152" t="s">
        <v>58</v>
      </c>
      <c r="C9" s="280" t="s">
        <v>38</v>
      </c>
      <c r="D9" s="281"/>
      <c r="E9" s="153" t="str">
        <f>+IF(SUM('2016 - 2019'!G12:G15)&gt;0,AVERAGE('2016 - 2019'!O12:O15)," -")</f>
        <v xml:space="preserve"> -</v>
      </c>
      <c r="F9" s="153">
        <f>+IF(SUM('2016 - 2019'!H12:H15)&gt;0,AVERAGE('2016 - 2019'!P12:P15)," -")</f>
        <v>0.71250000000000002</v>
      </c>
      <c r="G9" s="153">
        <f>+IF(SUM('2016 - 2019'!I12:I15)&gt;0,AVERAGE('2016 - 2019'!Q12:Q15)," -")</f>
        <v>0.5</v>
      </c>
      <c r="H9" s="153">
        <f>+IF(SUM('2016 - 2019'!J12:J15)&gt;0,AVERAGE('2016 - 2019'!R12:R15)," -")</f>
        <v>0</v>
      </c>
      <c r="I9" s="200">
        <f>+AVERAGE('2016 - 2019'!S12:S15)</f>
        <v>0.56874999999999998</v>
      </c>
      <c r="J9" s="154">
        <f t="shared" si="0"/>
        <v>0.56874999999999998</v>
      </c>
      <c r="K9" s="155">
        <f>+K10</f>
        <v>21000</v>
      </c>
      <c r="L9" s="156">
        <f t="shared" ref="L9:M9" si="3">+L10</f>
        <v>13000</v>
      </c>
      <c r="M9" s="156">
        <f t="shared" si="3"/>
        <v>0</v>
      </c>
      <c r="N9" s="157">
        <f t="shared" si="2"/>
        <v>0.61904761904761907</v>
      </c>
      <c r="O9" s="158" t="str">
        <f>IF(M9=0," -",IF(L9=0,100%,M9/L9))</f>
        <v xml:space="preserve"> -</v>
      </c>
    </row>
    <row r="10" spans="2:15" ht="18" customHeight="1">
      <c r="B10" s="159" t="s">
        <v>59</v>
      </c>
      <c r="C10" s="266" t="s">
        <v>60</v>
      </c>
      <c r="D10" s="241"/>
      <c r="E10" s="189" t="str">
        <f>+IF(SUM('2016 - 2019'!G13:G16)&gt;0,AVERAGE('2016 - 2019'!O13:O16)," -")</f>
        <v xml:space="preserve"> -</v>
      </c>
      <c r="F10" s="189">
        <f>+IF(SUM('2016 - 2019'!H13:H16)&gt;0,AVERAGE('2016 - 2019'!P13:P16)," -")</f>
        <v>0.6166666666666667</v>
      </c>
      <c r="G10" s="189">
        <f>+IF(SUM('2016 - 2019'!I13:I16)&gt;0,AVERAGE('2016 - 2019'!Q13:Q16)," -")</f>
        <v>0.66666666666666663</v>
      </c>
      <c r="H10" s="189">
        <f>+IF(SUM('2016 - 2019'!J13:J16)&gt;0,AVERAGE('2016 - 2019'!R13:R16)," -")</f>
        <v>0</v>
      </c>
      <c r="I10" s="201">
        <f>+AVERAGE('2016 - 2019'!S12:S15)</f>
        <v>0.56874999999999998</v>
      </c>
      <c r="J10" s="160">
        <f t="shared" si="0"/>
        <v>0.56874999999999998</v>
      </c>
      <c r="K10" s="161">
        <f>+SUM('2016 - 2019'!U12:U15)</f>
        <v>21000</v>
      </c>
      <c r="L10" s="18">
        <f>+SUM('2016 - 2019'!V12:V15)</f>
        <v>13000</v>
      </c>
      <c r="M10" s="18">
        <f>+SUM('2016 - 2019'!W12:W15)</f>
        <v>0</v>
      </c>
      <c r="N10" s="162">
        <f t="shared" si="2"/>
        <v>0.61904761904761907</v>
      </c>
      <c r="O10" s="163" t="str">
        <f t="shared" ref="O10:O12" si="4">IF(M10=0," -",IF(L10=0,100%,M10/L10))</f>
        <v xml:space="preserve"> -</v>
      </c>
    </row>
    <row r="11" spans="2:15" ht="20" customHeight="1">
      <c r="B11" s="152" t="s">
        <v>61</v>
      </c>
      <c r="C11" s="272" t="s">
        <v>39</v>
      </c>
      <c r="D11" s="273"/>
      <c r="E11" s="164" t="str">
        <f>+IF(SUM('2016 - 2019'!G17:G21)&gt;0,AVERAGE('2016 - 2019'!O17:O21)," -")</f>
        <v xml:space="preserve"> -</v>
      </c>
      <c r="F11" s="164">
        <f>+IF(SUM('2016 - 2019'!H17:H21)&gt;0,AVERAGE('2016 - 2019'!P17:P21)," -")</f>
        <v>0.72</v>
      </c>
      <c r="G11" s="164">
        <f>+IF(SUM('2016 - 2019'!I17:I21)&gt;0,AVERAGE('2016 - 2019'!Q17:Q21)," -")</f>
        <v>0.54166666666666663</v>
      </c>
      <c r="H11" s="164">
        <f>+IF(SUM('2016 - 2019'!J17:J21)&gt;0,AVERAGE('2016 - 2019'!R17:R21)," -")</f>
        <v>0</v>
      </c>
      <c r="I11" s="202">
        <f>+AVERAGE('2016 - 2019'!S17:S21)</f>
        <v>0.47666666666666657</v>
      </c>
      <c r="J11" s="165">
        <f t="shared" si="0"/>
        <v>0.47666666666666657</v>
      </c>
      <c r="K11" s="166">
        <f>+K12</f>
        <v>2031760</v>
      </c>
      <c r="L11" s="167">
        <f t="shared" ref="L11:M11" si="5">+L12</f>
        <v>2031760</v>
      </c>
      <c r="M11" s="167">
        <f t="shared" si="5"/>
        <v>0</v>
      </c>
      <c r="N11" s="168">
        <f t="shared" si="2"/>
        <v>1</v>
      </c>
      <c r="O11" s="169" t="str">
        <f t="shared" si="4"/>
        <v xml:space="preserve"> -</v>
      </c>
    </row>
    <row r="12" spans="2:15" ht="18" customHeight="1" thickBot="1">
      <c r="B12" s="159" t="s">
        <v>62</v>
      </c>
      <c r="C12" s="271" t="s">
        <v>63</v>
      </c>
      <c r="D12" s="242"/>
      <c r="E12" s="190" t="str">
        <f>+IF(SUM('2016 - 2019'!G18:G22)&gt;0,AVERAGE('2016 - 2019'!O18:O22)," -")</f>
        <v xml:space="preserve"> -</v>
      </c>
      <c r="F12" s="190">
        <f>+IF(SUM('2016 - 2019'!H18:H22)&gt;0,AVERAGE('2016 - 2019'!P18:P22)," -")</f>
        <v>0.7</v>
      </c>
      <c r="G12" s="190">
        <f>+IF(SUM('2016 - 2019'!I18:I22)&gt;0,AVERAGE('2016 - 2019'!Q18:Q22)," -")</f>
        <v>0.54166666666666663</v>
      </c>
      <c r="H12" s="190">
        <f>+IF(SUM('2016 - 2019'!J18:J22)&gt;0,AVERAGE('2016 - 2019'!R18:R22)," -")</f>
        <v>0</v>
      </c>
      <c r="I12" s="203">
        <f>+AVERAGE('2016 - 2019'!S17:S21)</f>
        <v>0.47666666666666657</v>
      </c>
      <c r="J12" s="170">
        <f t="shared" si="0"/>
        <v>0.47666666666666657</v>
      </c>
      <c r="K12" s="171">
        <f>+SUM('2016 - 2019'!U17:U21)</f>
        <v>2031760</v>
      </c>
      <c r="L12" s="24">
        <f>+SUM('2016 - 2019'!V17:V21)</f>
        <v>2031760</v>
      </c>
      <c r="M12" s="24">
        <f>+SUM('2016 - 2019'!W17:W21)</f>
        <v>0</v>
      </c>
      <c r="N12" s="172">
        <f t="shared" si="2"/>
        <v>1</v>
      </c>
      <c r="O12" s="173" t="str">
        <f t="shared" si="4"/>
        <v xml:space="preserve"> -</v>
      </c>
    </row>
    <row r="13" spans="2:15" ht="22" customHeight="1" thickBot="1">
      <c r="B13" s="145">
        <v>6</v>
      </c>
      <c r="C13" s="267" t="s">
        <v>64</v>
      </c>
      <c r="D13" s="268"/>
      <c r="E13" s="175" t="str">
        <f>+IF('2016 - 2019'!G23&gt;0,'2016 - 2019'!O23," -")</f>
        <v xml:space="preserve"> -</v>
      </c>
      <c r="F13" s="175">
        <f>+IF('2016 - 2019'!H23&gt;0,'2016 - 2019'!P23," -")</f>
        <v>0</v>
      </c>
      <c r="G13" s="175" t="str">
        <f>+IF('2016 - 2019'!I23&gt;0,'2016 - 2019'!Q23," -")</f>
        <v xml:space="preserve"> -</v>
      </c>
      <c r="H13" s="175" t="str">
        <f>+IF('2016 - 2019'!J23&gt;0,'2016 - 2019'!R23," -")</f>
        <v xml:space="preserve"> -</v>
      </c>
      <c r="I13" s="204">
        <f>+'2016 - 2019'!S23</f>
        <v>0.45</v>
      </c>
      <c r="J13" s="176">
        <f t="shared" ref="J13:J16" si="6">+I13</f>
        <v>0.45</v>
      </c>
      <c r="K13" s="177">
        <f>+K14</f>
        <v>0</v>
      </c>
      <c r="L13" s="178">
        <f t="shared" ref="L13:M14" si="7">+L14</f>
        <v>0</v>
      </c>
      <c r="M13" s="178">
        <f t="shared" si="7"/>
        <v>0</v>
      </c>
      <c r="N13" s="179" t="str">
        <f t="shared" ref="N13:N16" si="8">IF(K13=0,"-",+L13/K13)</f>
        <v>-</v>
      </c>
      <c r="O13" s="180" t="str">
        <f t="shared" ref="O13:O16" si="9">IF(M13=0," -",IF(L13=0,100%,M13/L13))</f>
        <v xml:space="preserve"> -</v>
      </c>
    </row>
    <row r="14" spans="2:15" ht="20" customHeight="1">
      <c r="B14" s="152" t="s">
        <v>65</v>
      </c>
      <c r="C14" s="269" t="s">
        <v>42</v>
      </c>
      <c r="D14" s="270"/>
      <c r="E14" s="191" t="str">
        <f>+IF('2016 - 2019'!G24&gt;0,'2016 - 2019'!O24," -")</f>
        <v xml:space="preserve"> -</v>
      </c>
      <c r="F14" s="191" t="str">
        <f>+IF('2016 - 2019'!H24&gt;0,'2016 - 2019'!P24," -")</f>
        <v xml:space="preserve"> -</v>
      </c>
      <c r="G14" s="191" t="str">
        <f>+IF('2016 - 2019'!I24&gt;0,'2016 - 2019'!Q24," -")</f>
        <v xml:space="preserve"> -</v>
      </c>
      <c r="H14" s="191" t="str">
        <f>+IF('2016 - 2019'!J24&gt;0,'2016 - 2019'!R24," -")</f>
        <v xml:space="preserve"> -</v>
      </c>
      <c r="I14" s="205">
        <f>+'2016 - 2019'!S23</f>
        <v>0.45</v>
      </c>
      <c r="J14" s="174">
        <f t="shared" si="6"/>
        <v>0.45</v>
      </c>
      <c r="K14" s="155">
        <f>+K15</f>
        <v>0</v>
      </c>
      <c r="L14" s="156">
        <f t="shared" si="7"/>
        <v>0</v>
      </c>
      <c r="M14" s="156">
        <f t="shared" si="7"/>
        <v>0</v>
      </c>
      <c r="N14" s="157" t="str">
        <f t="shared" si="8"/>
        <v>-</v>
      </c>
      <c r="O14" s="158" t="str">
        <f t="shared" si="9"/>
        <v xml:space="preserve"> -</v>
      </c>
    </row>
    <row r="15" spans="2:15" ht="18" customHeight="1" thickBot="1">
      <c r="B15" s="159" t="s">
        <v>66</v>
      </c>
      <c r="C15" s="266" t="s">
        <v>67</v>
      </c>
      <c r="D15" s="241"/>
      <c r="E15" s="192" t="str">
        <f>+IF('2016 - 2019'!G25&gt;0,'2016 - 2019'!O25," -")</f>
        <v xml:space="preserve"> -</v>
      </c>
      <c r="F15" s="192" t="str">
        <f>+IF('2016 - 2019'!H25&gt;0,'2016 - 2019'!P25," -")</f>
        <v xml:space="preserve"> -</v>
      </c>
      <c r="G15" s="192" t="str">
        <f>+IF('2016 - 2019'!I25&gt;0,'2016 - 2019'!Q25," -")</f>
        <v xml:space="preserve"> -</v>
      </c>
      <c r="H15" s="192" t="str">
        <f>+IF('2016 - 2019'!J25&gt;0,'2016 - 2019'!R25," -")</f>
        <v xml:space="preserve"> -</v>
      </c>
      <c r="I15" s="201">
        <f>+'2016 - 2019'!S23</f>
        <v>0.45</v>
      </c>
      <c r="J15" s="160">
        <f t="shared" si="6"/>
        <v>0.45</v>
      </c>
      <c r="K15" s="196">
        <f>+'2016 - 2019'!U23</f>
        <v>0</v>
      </c>
      <c r="L15" s="66">
        <f>+'2016 - 2019'!V23</f>
        <v>0</v>
      </c>
      <c r="M15" s="66">
        <f>+'2016 - 2019'!W23</f>
        <v>0</v>
      </c>
      <c r="N15" s="197" t="str">
        <f t="shared" si="8"/>
        <v>-</v>
      </c>
      <c r="O15" s="198" t="str">
        <f t="shared" si="9"/>
        <v xml:space="preserve"> -</v>
      </c>
    </row>
    <row r="16" spans="2:15" ht="24" customHeight="1" thickBot="1">
      <c r="C16" s="264" t="s">
        <v>68</v>
      </c>
      <c r="D16" s="265"/>
      <c r="E16" s="181" t="str">
        <f>+'2016 - 2019'!O24</f>
        <v xml:space="preserve"> -</v>
      </c>
      <c r="F16" s="181">
        <f>+'2016 - 2019'!P24</f>
        <v>0.64500000000000002</v>
      </c>
      <c r="G16" s="181">
        <f>+'2016 - 2019'!Q24</f>
        <v>0.52083333333333337</v>
      </c>
      <c r="H16" s="181">
        <f>+'2016 - 2019'!R24</f>
        <v>0</v>
      </c>
      <c r="I16" s="182">
        <f>+'2016 - 2019'!S24</f>
        <v>0.51083333333333336</v>
      </c>
      <c r="J16" s="183">
        <f t="shared" si="6"/>
        <v>0.51083333333333336</v>
      </c>
      <c r="K16" s="89">
        <f>+K8+K13</f>
        <v>2052760</v>
      </c>
      <c r="L16" s="90">
        <f>+L8+L13</f>
        <v>2044760</v>
      </c>
      <c r="M16" s="90">
        <f>+M8+M13</f>
        <v>0</v>
      </c>
      <c r="N16" s="184">
        <f t="shared" si="8"/>
        <v>0.99610280792688866</v>
      </c>
      <c r="O16" s="185" t="str">
        <f t="shared" si="9"/>
        <v xml:space="preserve"> -</v>
      </c>
    </row>
    <row r="18" spans="3:9" ht="17">
      <c r="C18" s="186" t="str">
        <f>+'2016 - 2019'!C7</f>
        <v>FECHA CORTE</v>
      </c>
      <c r="D18" s="187"/>
      <c r="E18" s="188"/>
      <c r="F18" s="188"/>
      <c r="I18" s="186" t="s">
        <v>70</v>
      </c>
    </row>
    <row r="19" spans="3:9" ht="17">
      <c r="C19" s="206">
        <f>+'2016 - 2019'!C8</f>
        <v>43373</v>
      </c>
    </row>
  </sheetData>
  <mergeCells count="16">
    <mergeCell ref="C3:O3"/>
    <mergeCell ref="E5:H6"/>
    <mergeCell ref="I5:J6"/>
    <mergeCell ref="K5:O5"/>
    <mergeCell ref="K6:O6"/>
    <mergeCell ref="C11:D11"/>
    <mergeCell ref="C10:D10"/>
    <mergeCell ref="C7:D7"/>
    <mergeCell ref="I7:J7"/>
    <mergeCell ref="C8:D8"/>
    <mergeCell ref="C9:D9"/>
    <mergeCell ref="C16:D16"/>
    <mergeCell ref="C15:D15"/>
    <mergeCell ref="C13:D13"/>
    <mergeCell ref="C14:D14"/>
    <mergeCell ref="C12:D12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16:F16 E8:H15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{69FC4C1B-7633-1349-8A30-BA83499A8074}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FC4C1B-7633-1349-8A30-BA83499A807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 E8:H15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2018-10-08T21:11:23Z</dcterms:modified>
</cp:coreProperties>
</file>