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23" i="11"/>
  <c r="W23" i="11"/>
  <c r="V17" i="11"/>
  <c r="W17" i="11"/>
  <c r="V18" i="11"/>
  <c r="W18" i="11"/>
  <c r="V19" i="11"/>
  <c r="W19" i="11"/>
  <c r="V20" i="11"/>
  <c r="W20" i="11"/>
  <c r="V21" i="11"/>
  <c r="W21" i="11"/>
  <c r="V12" i="11"/>
  <c r="W12" i="11"/>
  <c r="V13" i="11"/>
  <c r="W13" i="11"/>
  <c r="V14" i="11"/>
  <c r="W14" i="11"/>
  <c r="V15" i="11"/>
  <c r="W15" i="11"/>
  <c r="U23" i="11"/>
  <c r="U21" i="11"/>
  <c r="U20" i="11"/>
  <c r="U19" i="11"/>
  <c r="U18" i="11"/>
  <c r="U17" i="11"/>
  <c r="U15" i="11"/>
  <c r="U14" i="11"/>
  <c r="U13" i="11"/>
  <c r="U12" i="11"/>
  <c r="M10" i="12"/>
  <c r="M9" i="12"/>
  <c r="M12" i="12"/>
  <c r="M11" i="12"/>
  <c r="M8" i="12"/>
  <c r="M15" i="12"/>
  <c r="M14" i="12"/>
  <c r="M13" i="12"/>
  <c r="M16" i="12"/>
  <c r="L10" i="12"/>
  <c r="L9" i="12"/>
  <c r="L12" i="12"/>
  <c r="L11" i="12"/>
  <c r="L8" i="12"/>
  <c r="L15" i="12"/>
  <c r="L14" i="12"/>
  <c r="L13" i="12"/>
  <c r="L16" i="12"/>
  <c r="K12" i="12"/>
  <c r="K11" i="12"/>
  <c r="K10" i="12"/>
  <c r="K9" i="12"/>
  <c r="K8" i="12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S24" i="10"/>
  <c r="Q24" i="10"/>
  <c r="M12" i="10"/>
  <c r="M13" i="10"/>
  <c r="M14" i="10"/>
  <c r="M15" i="10"/>
  <c r="M17" i="10"/>
  <c r="M18" i="10"/>
  <c r="M19" i="10"/>
  <c r="M20" i="10"/>
  <c r="M21" i="10"/>
  <c r="M23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L23" i="10"/>
  <c r="T21" i="10"/>
  <c r="S21" i="10"/>
  <c r="T20" i="10"/>
  <c r="S20" i="10"/>
  <c r="T19" i="10"/>
  <c r="S19" i="10"/>
  <c r="T18" i="10"/>
  <c r="S18" i="10"/>
  <c r="T17" i="10"/>
  <c r="S17" i="10"/>
  <c r="L17" i="10"/>
  <c r="T15" i="10"/>
  <c r="S15" i="10"/>
  <c r="T14" i="10"/>
  <c r="S14" i="10"/>
  <c r="T13" i="10"/>
  <c r="S13" i="10"/>
  <c r="T12" i="10"/>
  <c r="S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<sst xmlns="http://schemas.openxmlformats.org/spreadsheetml/2006/main" count="306" uniqueCount="71">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</sst>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21" fillId="0" borderId="0" xfId="0" applyFont="1"/>
    <xf numFmtId="4" fontId="5" fillId="0" borderId="4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1397000</xdr:colOff>
      <xdr:row>1</xdr:row>
      <xdr:rowOff>76200</xdr:rowOff>
    </xdr:from>
    <xdr:to>
      <xdr:col>16</xdr:col>
      <xdr:colOff>1930400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88100" y="2667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850900</xdr:colOff>
      <xdr:row>0</xdr:row>
      <xdr:rowOff>165100</xdr:rowOff>
    </xdr:from>
    <xdr:to>
      <xdr:col>16</xdr:col>
      <xdr:colOff>1384300</xdr:colOff>
      <xdr:row>4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542000" y="1651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203200</xdr:rowOff>
    </xdr:from>
    <xdr:to>
      <xdr:col>21</xdr:col>
      <xdr:colOff>482600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291800" y="393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2921000</xdr:colOff>
      <xdr:row>3</xdr:row>
      <xdr:rowOff>63500</xdr:rowOff>
    </xdr:from>
    <xdr:to>
      <xdr:col>3</xdr:col>
      <xdr:colOff>1333500</xdr:colOff>
      <xdr:row>6</xdr:row>
      <xdr:rowOff>266700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3911600" y="736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H10:H11"/>
    <mergeCell ref="D12:D15"/>
    <mergeCell ref="D17:D21"/>
    <mergeCell ref="B12:B21"/>
    <mergeCell ref="C12:C15"/>
    <mergeCell ref="C17:C21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43465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1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1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1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0.93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0.93</v>
      </c>
      <c r="L18" s="53">
        <f>+K18/J18</f>
        <v>0.93</v>
      </c>
      <c r="M18" s="44">
        <f t="shared" si="3"/>
        <v>1</v>
      </c>
      <c r="N18" s="45">
        <f t="shared" si="4"/>
        <v>0.93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0.7</v>
      </c>
      <c r="L19" s="53">
        <f t="shared" ref="L19:L21" si="5">+K19/J19</f>
        <v>0.7</v>
      </c>
      <c r="M19" s="44">
        <f t="shared" si="3"/>
        <v>1</v>
      </c>
      <c r="N19" s="45">
        <f t="shared" si="4"/>
        <v>0.7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2</v>
      </c>
      <c r="L20" s="53">
        <f t="shared" si="5"/>
        <v>0.66666666666666663</v>
      </c>
      <c r="M20" s="44">
        <f t="shared" si="3"/>
        <v>1</v>
      </c>
      <c r="N20" s="45">
        <f t="shared" si="4"/>
        <v>0.66666666666666663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2</v>
      </c>
      <c r="L21" s="53">
        <f t="shared" si="5"/>
        <v>0.66666666666666663</v>
      </c>
      <c r="M21" s="44">
        <f t="shared" si="3"/>
        <v>1</v>
      </c>
      <c r="N21" s="45">
        <f t="shared" si="4"/>
        <v>0.66666666666666663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0.7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0.62041666666666673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</row>
    <row r="4" spans="2:20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>
        <v>43646</v>
      </c>
      <c r="D8" s="221" t="s">
        <v>3</v>
      </c>
      <c r="E8" s="222"/>
      <c r="F8" s="222"/>
      <c r="G8" s="222"/>
      <c r="H8" s="222"/>
      <c r="I8" s="222"/>
      <c r="J8" s="222"/>
      <c r="K8" s="22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4" t="s">
        <v>17</v>
      </c>
      <c r="C9" s="227" t="s">
        <v>18</v>
      </c>
      <c r="D9" s="229" t="s">
        <v>0</v>
      </c>
      <c r="E9" s="232" t="s">
        <v>4</v>
      </c>
      <c r="F9" s="232"/>
      <c r="G9" s="232" t="s">
        <v>5</v>
      </c>
      <c r="H9" s="232"/>
      <c r="I9" s="232"/>
      <c r="J9" s="232"/>
      <c r="K9" s="234"/>
      <c r="L9" s="48"/>
      <c r="M9" s="229" t="s">
        <v>6</v>
      </c>
      <c r="N9" s="234"/>
      <c r="O9" s="243" t="s">
        <v>45</v>
      </c>
      <c r="P9" s="244"/>
      <c r="Q9" s="244"/>
      <c r="R9" s="244"/>
      <c r="S9" s="244"/>
      <c r="T9" s="245"/>
    </row>
    <row r="10" spans="2:20" ht="17" customHeight="1">
      <c r="B10" s="225"/>
      <c r="C10" s="228"/>
      <c r="D10" s="230"/>
      <c r="E10" s="233"/>
      <c r="F10" s="233"/>
      <c r="G10" s="233" t="s">
        <v>7</v>
      </c>
      <c r="H10" s="211" t="s">
        <v>43</v>
      </c>
      <c r="I10" s="211" t="s">
        <v>44</v>
      </c>
      <c r="J10" s="237" t="s">
        <v>1</v>
      </c>
      <c r="K10" s="235" t="s">
        <v>8</v>
      </c>
      <c r="L10" s="49"/>
      <c r="M10" s="239" t="s">
        <v>9</v>
      </c>
      <c r="N10" s="241" t="s">
        <v>10</v>
      </c>
      <c r="O10" s="246"/>
      <c r="P10" s="247"/>
      <c r="Q10" s="247"/>
      <c r="R10" s="247"/>
      <c r="S10" s="247"/>
      <c r="T10" s="248"/>
    </row>
    <row r="11" spans="2:20" ht="37.5" customHeight="1" thickBot="1">
      <c r="B11" s="226"/>
      <c r="C11" s="228"/>
      <c r="D11" s="231"/>
      <c r="E11" s="12" t="s">
        <v>11</v>
      </c>
      <c r="F11" s="12" t="s">
        <v>12</v>
      </c>
      <c r="G11" s="211"/>
      <c r="H11" s="212"/>
      <c r="I11" s="212"/>
      <c r="J11" s="238"/>
      <c r="K11" s="236"/>
      <c r="L11" s="50"/>
      <c r="M11" s="240"/>
      <c r="N11" s="242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7" t="s">
        <v>37</v>
      </c>
      <c r="C12" s="217" t="s">
        <v>38</v>
      </c>
      <c r="D12" s="213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>
        <v>0</v>
      </c>
      <c r="L12" s="52">
        <f>+K12/J12</f>
        <v>0</v>
      </c>
      <c r="M12" s="42">
        <f>DAYS360(E12,$C$8)/DAYS360(E12,F12)</f>
        <v>0.49722222222222223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8"/>
      <c r="C13" s="218"/>
      <c r="D13" s="214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>
        <v>1</v>
      </c>
      <c r="L13" s="53">
        <f>+K13/J13</f>
        <v>1</v>
      </c>
      <c r="M13" s="44">
        <f>DAYS360(E13,$C$8)/DAYS360(E13,F13)</f>
        <v>0.49722222222222223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8"/>
      <c r="C14" s="218"/>
      <c r="D14" s="214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>
        <v>2</v>
      </c>
      <c r="L14" s="53">
        <f t="shared" ref="L14:L15" si="2">+K14/J14</f>
        <v>1</v>
      </c>
      <c r="M14" s="44">
        <f t="shared" ref="M14:M23" si="3">DAYS360(E14,$C$8)/DAYS360(E14,F14)</f>
        <v>0.49722222222222223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8"/>
      <c r="C15" s="219"/>
      <c r="D15" s="215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>
        <v>0</v>
      </c>
      <c r="L15" s="53">
        <f t="shared" si="2"/>
        <v>0</v>
      </c>
      <c r="M15" s="44">
        <f t="shared" si="3"/>
        <v>0.49722222222222223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8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8"/>
      <c r="C17" s="217" t="s">
        <v>39</v>
      </c>
      <c r="D17" s="216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-0.98000000000000009</v>
      </c>
      <c r="J17" s="31">
        <v>0</v>
      </c>
      <c r="K17" s="40">
        <v>0</v>
      </c>
      <c r="L17" s="52" t="e">
        <f>+K17/J17</f>
        <v>#DIV/0!</v>
      </c>
      <c r="M17" s="44">
        <f t="shared" si="3"/>
        <v>0.49722222222222223</v>
      </c>
      <c r="N17" s="45" t="str">
        <f t="shared" si="4"/>
        <v xml:space="preserve"> -</v>
      </c>
      <c r="O17" s="63">
        <v>0</v>
      </c>
      <c r="P17" s="20">
        <v>0</v>
      </c>
      <c r="Q17" s="20">
        <v>0</v>
      </c>
      <c r="R17" s="20">
        <v>0</v>
      </c>
      <c r="S17" s="21" t="str">
        <f t="shared" si="0"/>
        <v xml:space="preserve"> -</v>
      </c>
      <c r="T17" s="43" t="str">
        <f t="shared" si="1"/>
        <v xml:space="preserve"> -</v>
      </c>
    </row>
    <row r="18" spans="2:20" ht="75">
      <c r="B18" s="218"/>
      <c r="C18" s="218"/>
      <c r="D18" s="214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101">
        <v>0.2</v>
      </c>
      <c r="L18" s="53">
        <f>+K18/J18</f>
        <v>0.2</v>
      </c>
      <c r="M18" s="44">
        <f t="shared" si="3"/>
        <v>0.49722222222222223</v>
      </c>
      <c r="N18" s="45">
        <f t="shared" si="4"/>
        <v>0.2</v>
      </c>
      <c r="O18" s="64" t="s">
        <v>46</v>
      </c>
      <c r="P18" s="18">
        <v>0</v>
      </c>
      <c r="Q18" s="31">
        <v>0</v>
      </c>
      <c r="R18" s="18">
        <v>0</v>
      </c>
      <c r="S18" s="32" t="str">
        <f t="shared" si="0"/>
        <v xml:space="preserve"> -</v>
      </c>
      <c r="T18" s="67" t="str">
        <f t="shared" si="1"/>
        <v xml:space="preserve"> -</v>
      </c>
    </row>
    <row r="19" spans="2:20" ht="45">
      <c r="B19" s="218"/>
      <c r="C19" s="218"/>
      <c r="D19" s="214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101">
        <v>0.2</v>
      </c>
      <c r="L19" s="53">
        <f t="shared" ref="L19:L21" si="5">+K19/J19</f>
        <v>0.2</v>
      </c>
      <c r="M19" s="44">
        <f t="shared" si="3"/>
        <v>0.49722222222222223</v>
      </c>
      <c r="N19" s="45">
        <f t="shared" si="4"/>
        <v>0.2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8"/>
      <c r="C20" s="218"/>
      <c r="D20" s="214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4</v>
      </c>
      <c r="J20" s="18">
        <v>3</v>
      </c>
      <c r="K20" s="38">
        <v>0</v>
      </c>
      <c r="L20" s="53">
        <f t="shared" si="5"/>
        <v>0</v>
      </c>
      <c r="M20" s="44">
        <f t="shared" si="3"/>
        <v>0.49722222222222223</v>
      </c>
      <c r="N20" s="45">
        <f t="shared" si="4"/>
        <v>0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9"/>
      <c r="C21" s="219"/>
      <c r="D21" s="215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4</v>
      </c>
      <c r="J21" s="24">
        <v>3</v>
      </c>
      <c r="K21" s="39">
        <v>0</v>
      </c>
      <c r="L21" s="53">
        <f t="shared" si="5"/>
        <v>0</v>
      </c>
      <c r="M21" s="44">
        <f t="shared" si="3"/>
        <v>0.49722222222222223</v>
      </c>
      <c r="N21" s="45">
        <f t="shared" si="4"/>
        <v>0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0.30000000000000004</v>
      </c>
      <c r="J23" s="27">
        <v>0</v>
      </c>
      <c r="K23" s="210">
        <v>0.69</v>
      </c>
      <c r="L23" s="56" t="e">
        <f>+K23/J23</f>
        <v>#DIV/0!</v>
      </c>
      <c r="M23" s="46">
        <f t="shared" si="3"/>
        <v>0.49722222222222223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0.49722222222222212</v>
      </c>
      <c r="N24" s="92">
        <f>+AVERAGE(N12:N15,N17:N21,N23)</f>
        <v>0.30000000000000004</v>
      </c>
      <c r="O24" s="93"/>
      <c r="P24" s="90">
        <f>+SUM(P12:P15,P17:P21,P23)</f>
        <v>0</v>
      </c>
      <c r="Q24" s="90">
        <f t="shared" ref="Q24:R24" si="6">+SUM(Q12:Q15,Q17:Q21,Q23)</f>
        <v>0</v>
      </c>
      <c r="R24" s="90">
        <f t="shared" si="6"/>
        <v>0</v>
      </c>
      <c r="S24" s="91" t="str">
        <f t="shared" si="0"/>
        <v xml:space="preserve"> -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0" t="s">
        <v>16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</row>
    <row r="3" spans="2:25" ht="20" customHeight="1">
      <c r="B3" s="220" t="s">
        <v>19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</row>
    <row r="4" spans="2:25" ht="20" customHeight="1">
      <c r="B4" s="220" t="s">
        <v>33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+'2019'!C8</f>
        <v>43646</v>
      </c>
      <c r="D8" s="221" t="s">
        <v>3</v>
      </c>
      <c r="E8" s="222"/>
      <c r="F8" s="222"/>
      <c r="G8" s="222"/>
      <c r="H8" s="249"/>
      <c r="I8" s="249"/>
      <c r="J8" s="249"/>
      <c r="K8" s="249"/>
      <c r="L8" s="249"/>
      <c r="M8" s="249"/>
      <c r="N8" s="22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4" t="s">
        <v>17</v>
      </c>
      <c r="C9" s="227" t="s">
        <v>18</v>
      </c>
      <c r="D9" s="229" t="s">
        <v>0</v>
      </c>
      <c r="E9" s="253" t="s">
        <v>5</v>
      </c>
      <c r="F9" s="254"/>
      <c r="G9" s="254"/>
      <c r="H9" s="254"/>
      <c r="I9" s="254"/>
      <c r="J9" s="254"/>
      <c r="K9" s="254"/>
      <c r="L9" s="254"/>
      <c r="M9" s="254"/>
      <c r="N9" s="255"/>
      <c r="O9" s="250" t="s">
        <v>47</v>
      </c>
      <c r="P9" s="251"/>
      <c r="Q9" s="251"/>
      <c r="R9" s="251"/>
      <c r="S9" s="252"/>
      <c r="T9" s="243" t="s">
        <v>49</v>
      </c>
      <c r="U9" s="244"/>
      <c r="V9" s="244"/>
      <c r="W9" s="244"/>
      <c r="X9" s="244"/>
      <c r="Y9" s="245"/>
    </row>
    <row r="10" spans="2:25" ht="17" customHeight="1">
      <c r="B10" s="225"/>
      <c r="C10" s="228"/>
      <c r="D10" s="230"/>
      <c r="E10" s="233" t="s">
        <v>7</v>
      </c>
      <c r="F10" s="211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6">
        <v>2016</v>
      </c>
      <c r="P10" s="264">
        <v>2017</v>
      </c>
      <c r="Q10" s="262">
        <v>2018</v>
      </c>
      <c r="R10" s="260">
        <v>2019</v>
      </c>
      <c r="S10" s="258" t="s">
        <v>48</v>
      </c>
      <c r="T10" s="246"/>
      <c r="U10" s="247"/>
      <c r="V10" s="247"/>
      <c r="W10" s="247"/>
      <c r="X10" s="247"/>
      <c r="Y10" s="248"/>
    </row>
    <row r="11" spans="2:25" ht="37.5" customHeight="1" thickBot="1">
      <c r="B11" s="226"/>
      <c r="C11" s="228"/>
      <c r="D11" s="231"/>
      <c r="E11" s="211"/>
      <c r="F11" s="212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7"/>
      <c r="P11" s="265"/>
      <c r="Q11" s="263"/>
      <c r="R11" s="261"/>
      <c r="S11" s="259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17" t="s">
        <v>37</v>
      </c>
      <c r="C12" s="217" t="s">
        <v>38</v>
      </c>
      <c r="D12" s="213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0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0</v>
      </c>
      <c r="S12" s="137">
        <v>0.25</v>
      </c>
      <c r="T12" s="63" t="s">
        <v>46</v>
      </c>
      <c r="U12" s="31">
        <f>+'2016'!P12+'2017'!P12+'2018'!P12+'2019'!P12</f>
        <v>4000</v>
      </c>
      <c r="V12" s="31">
        <f>+'2016'!Q12+'2017'!Q12+'2018'!Q12+'2019'!Q12</f>
        <v>4000</v>
      </c>
      <c r="W12" s="31">
        <f>+'2016'!R12+'2017'!R12+'2018'!R12+'2019'!R12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18"/>
      <c r="C13" s="218"/>
      <c r="D13" s="214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1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1</v>
      </c>
      <c r="S13" s="138">
        <v>1</v>
      </c>
      <c r="T13" s="64" t="s">
        <v>46</v>
      </c>
      <c r="U13" s="18">
        <f>+'2016'!P13+'2017'!P13+'2018'!P13+'2019'!P13</f>
        <v>8000</v>
      </c>
      <c r="V13" s="18">
        <f>+'2016'!Q13+'2017'!Q13+'2018'!Q13+'2019'!Q13</f>
        <v>4333</v>
      </c>
      <c r="W13" s="18">
        <f>+'2016'!R13+'2017'!R13+'2018'!R13+'2019'!R13</f>
        <v>0</v>
      </c>
      <c r="X13" s="32">
        <f t="shared" ref="X13:X24" si="0">IF(U13=0," -",V13/U13)</f>
        <v>0.54162500000000002</v>
      </c>
      <c r="Y13" s="67" t="str">
        <f t="shared" ref="Y13:Y24" si="1">IF(W13=0," -",IF(V13=0,100%,W13/V13))</f>
        <v xml:space="preserve"> -</v>
      </c>
    </row>
    <row r="14" spans="2:25" ht="30">
      <c r="B14" s="218"/>
      <c r="C14" s="218"/>
      <c r="D14" s="214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2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1</v>
      </c>
      <c r="S14" s="138">
        <v>1</v>
      </c>
      <c r="T14" s="64" t="s">
        <v>46</v>
      </c>
      <c r="U14" s="18">
        <f>+'2016'!P14+'2017'!P14+'2018'!P14+'2019'!P14</f>
        <v>4000</v>
      </c>
      <c r="V14" s="18">
        <f>+'2016'!Q14+'2017'!Q14+'2018'!Q14+'2019'!Q14</f>
        <v>4000</v>
      </c>
      <c r="W14" s="18">
        <f>+'2016'!R14+'2017'!R14+'2018'!R14+'2019'!R14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18"/>
      <c r="C15" s="219"/>
      <c r="D15" s="215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0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0</v>
      </c>
      <c r="S15" s="138">
        <v>2.5000000000000001E-2</v>
      </c>
      <c r="T15" s="65" t="s">
        <v>46</v>
      </c>
      <c r="U15" s="18">
        <f>+'2016'!P15+'2017'!P15+'2018'!P15+'2019'!P15</f>
        <v>5000</v>
      </c>
      <c r="V15" s="18">
        <f>+'2016'!Q15+'2017'!Q15+'2018'!Q15+'2019'!Q15</f>
        <v>667</v>
      </c>
      <c r="W15" s="18">
        <f>+'2016'!R15+'2017'!R15+'2018'!R15+'2019'!R15</f>
        <v>0</v>
      </c>
      <c r="X15" s="28">
        <f t="shared" si="0"/>
        <v>0.13339999999999999</v>
      </c>
      <c r="Y15" s="71" t="str">
        <f t="shared" si="1"/>
        <v xml:space="preserve"> -</v>
      </c>
    </row>
    <row r="16" spans="2:25" ht="13" customHeight="1" thickBot="1">
      <c r="B16" s="218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18"/>
      <c r="C17" s="217" t="s">
        <v>39</v>
      </c>
      <c r="D17" s="216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0.93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+'2016'!P17+'2017'!P17+'2018'!P17+'2019'!P17</f>
        <v>1516320</v>
      </c>
      <c r="V17" s="18">
        <f>+'2016'!Q17+'2017'!Q17+'2018'!Q17+'2019'!Q17</f>
        <v>1516320</v>
      </c>
      <c r="W17" s="18">
        <f>+'2016'!R17+'2017'!R17+'2018'!R17+'2019'!R17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18"/>
      <c r="C18" s="218"/>
      <c r="D18" s="214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0.93</v>
      </c>
      <c r="N18" s="111">
        <f>'2019'!K18</f>
        <v>0.2</v>
      </c>
      <c r="O18" s="120" t="str">
        <f>'2016'!N18</f>
        <v xml:space="preserve"> -</v>
      </c>
      <c r="P18" s="121">
        <f>'2017'!N18</f>
        <v>0.8</v>
      </c>
      <c r="Q18" s="125">
        <f>'2018'!N18</f>
        <v>0.93</v>
      </c>
      <c r="R18" s="121">
        <f>'2019'!N18</f>
        <v>0.2</v>
      </c>
      <c r="S18" s="138">
        <v>0.64333333333333331</v>
      </c>
      <c r="T18" s="64" t="s">
        <v>46</v>
      </c>
      <c r="U18" s="18">
        <f>+'2016'!P18+'2017'!P18+'2018'!P18+'2019'!P18</f>
        <v>1516320</v>
      </c>
      <c r="V18" s="18">
        <f>+'2016'!Q18+'2017'!Q18+'2018'!Q18+'2019'!Q18</f>
        <v>1516320</v>
      </c>
      <c r="W18" s="18">
        <f>+'2016'!R18+'2017'!R18+'2018'!R18+'2019'!R18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18"/>
      <c r="C19" s="218"/>
      <c r="D19" s="214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0.7</v>
      </c>
      <c r="N19" s="111">
        <f>'2019'!K19</f>
        <v>0.2</v>
      </c>
      <c r="O19" s="120" t="str">
        <f>'2016'!N19</f>
        <v xml:space="preserve"> -</v>
      </c>
      <c r="P19" s="121">
        <f>'2017'!N19</f>
        <v>0</v>
      </c>
      <c r="Q19" s="125">
        <f>'2018'!N19</f>
        <v>0.7</v>
      </c>
      <c r="R19" s="121">
        <f>'2019'!N19</f>
        <v>0.2</v>
      </c>
      <c r="S19" s="138">
        <v>0.3</v>
      </c>
      <c r="T19" s="64" t="s">
        <v>46</v>
      </c>
      <c r="U19" s="18">
        <f>+'2016'!P19+'2017'!P19+'2018'!P19+'2019'!P19</f>
        <v>500000</v>
      </c>
      <c r="V19" s="18">
        <f>+'2016'!Q19+'2017'!Q19+'2018'!Q19+'2019'!Q19</f>
        <v>500000</v>
      </c>
      <c r="W19" s="18">
        <f>+'2016'!R19+'2017'!R19+'2018'!R19+'2019'!R19</f>
        <v>0</v>
      </c>
      <c r="X19" s="32">
        <f t="shared" si="0"/>
        <v>1</v>
      </c>
      <c r="Y19" s="67" t="str">
        <f t="shared" si="1"/>
        <v xml:space="preserve"> -</v>
      </c>
    </row>
    <row r="20" spans="2:25" ht="45">
      <c r="B20" s="218"/>
      <c r="C20" s="218"/>
      <c r="D20" s="214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2</v>
      </c>
      <c r="N20" s="111">
        <f>'2019'!K20</f>
        <v>0</v>
      </c>
      <c r="O20" s="120" t="str">
        <f>'2016'!N20</f>
        <v xml:space="preserve"> -</v>
      </c>
      <c r="P20" s="121">
        <f>'2017'!N20</f>
        <v>1</v>
      </c>
      <c r="Q20" s="125">
        <f>'2018'!N20</f>
        <v>0.66666666666666663</v>
      </c>
      <c r="R20" s="121">
        <f>'2019'!N20</f>
        <v>0</v>
      </c>
      <c r="S20" s="138">
        <v>0.5</v>
      </c>
      <c r="T20" s="64" t="s">
        <v>46</v>
      </c>
      <c r="U20" s="18">
        <f>+'2016'!P20+'2017'!P20+'2018'!P20+'2019'!P20</f>
        <v>5000</v>
      </c>
      <c r="V20" s="18">
        <f>+'2016'!Q20+'2017'!Q20+'2018'!Q20+'2019'!Q20</f>
        <v>5000</v>
      </c>
      <c r="W20" s="18">
        <f>+'2016'!R20+'2017'!R20+'2018'!R20+'2019'!R20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19"/>
      <c r="C21" s="219"/>
      <c r="D21" s="215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2</v>
      </c>
      <c r="N21" s="114">
        <f>'2019'!K21</f>
        <v>0</v>
      </c>
      <c r="O21" s="120" t="str">
        <f>'2016'!N21</f>
        <v xml:space="preserve"> -</v>
      </c>
      <c r="P21" s="121">
        <f>'2017'!N21</f>
        <v>1</v>
      </c>
      <c r="Q21" s="126">
        <f>'2018'!N21</f>
        <v>0.66666666666666663</v>
      </c>
      <c r="R21" s="121">
        <f>'2019'!N21</f>
        <v>0</v>
      </c>
      <c r="S21" s="138">
        <v>0.5</v>
      </c>
      <c r="T21" s="65" t="s">
        <v>46</v>
      </c>
      <c r="U21" s="18">
        <f>+'2016'!P21+'2017'!P21+'2018'!P21+'2019'!P21</f>
        <v>5000</v>
      </c>
      <c r="V21" s="18">
        <f>+'2016'!Q21+'2017'!Q21+'2018'!Q21+'2019'!Q21</f>
        <v>5000</v>
      </c>
      <c r="W21" s="18">
        <f>+'2016'!R21+'2017'!R21+'2018'!R21+'2019'!R21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0.7</v>
      </c>
      <c r="N23" s="117">
        <f>'2019'!K23</f>
        <v>0.69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1.39</v>
      </c>
      <c r="T23" s="60" t="s">
        <v>46</v>
      </c>
      <c r="U23" s="18">
        <f>+'2016'!P23+'2017'!P23+'2018'!P23+'2019'!P23</f>
        <v>280000</v>
      </c>
      <c r="V23" s="18">
        <f>+'2016'!Q23+'2017'!Q23+'2018'!Q23+'2019'!Q23</f>
        <v>0</v>
      </c>
      <c r="W23" s="18">
        <f>+'2016'!R23+'2017'!R23+'2018'!R23+'2019'!R23</f>
        <v>0</v>
      </c>
      <c r="X23" s="62">
        <f t="shared" si="0"/>
        <v>0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0.62041666666666673</v>
      </c>
      <c r="R24" s="136">
        <f t="shared" si="2"/>
        <v>0.30000000000000004</v>
      </c>
      <c r="S24" s="92">
        <f t="shared" si="2"/>
        <v>0.66083333333333327</v>
      </c>
      <c r="T24" s="93"/>
      <c r="U24" s="90">
        <f>+SUM(U12:U15,U17:U21,U23)</f>
        <v>3843640</v>
      </c>
      <c r="V24" s="90">
        <f t="shared" ref="V24:W24" si="3">+SUM(V12:V15,V17:V21,V23)</f>
        <v>3555640</v>
      </c>
      <c r="W24" s="90">
        <f t="shared" si="3"/>
        <v>0</v>
      </c>
      <c r="X24" s="91">
        <f t="shared" si="0"/>
        <v>0.92507102642286998</v>
      </c>
      <c r="Y24" s="92" t="str">
        <f t="shared" si="1"/>
        <v xml:space="preserve"> -</v>
      </c>
    </row>
  </sheetData>
  <mergeCells count="22">
    <mergeCell ref="P10:P11"/>
    <mergeCell ref="B12:B21"/>
    <mergeCell ref="C12:C15"/>
    <mergeCell ref="D12:D15"/>
    <mergeCell ref="C17:C21"/>
    <mergeCell ref="D17:D21"/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6" t="s">
        <v>69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69" t="s">
        <v>50</v>
      </c>
      <c r="F5" s="270"/>
      <c r="G5" s="270"/>
      <c r="H5" s="270"/>
      <c r="I5" s="273" t="s">
        <v>47</v>
      </c>
      <c r="J5" s="274"/>
      <c r="K5" s="277" t="s">
        <v>51</v>
      </c>
      <c r="L5" s="278"/>
      <c r="M5" s="278"/>
      <c r="N5" s="278"/>
      <c r="O5" s="279"/>
    </row>
    <row r="6" spans="2:15" ht="19" customHeight="1" thickBot="1">
      <c r="E6" s="271"/>
      <c r="F6" s="272"/>
      <c r="G6" s="272"/>
      <c r="H6" s="272"/>
      <c r="I6" s="275"/>
      <c r="J6" s="276"/>
      <c r="K6" s="280" t="s">
        <v>48</v>
      </c>
      <c r="L6" s="281"/>
      <c r="M6" s="281"/>
      <c r="N6" s="281"/>
      <c r="O6" s="282"/>
    </row>
    <row r="7" spans="2:15" ht="32" customHeight="1" thickBot="1">
      <c r="C7" s="286"/>
      <c r="D7" s="287"/>
      <c r="E7" s="143">
        <v>2016</v>
      </c>
      <c r="F7" s="144">
        <v>2017</v>
      </c>
      <c r="G7" s="144">
        <v>2018</v>
      </c>
      <c r="H7" s="144">
        <v>2019</v>
      </c>
      <c r="I7" s="288" t="s">
        <v>48</v>
      </c>
      <c r="J7" s="289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90" t="s">
        <v>57</v>
      </c>
      <c r="D8" s="291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0.62041666666666673</v>
      </c>
      <c r="H8" s="146">
        <f>+IF(SUM('2016 - 2019'!J12:J21)&gt;0,AVERAGE('2016 - 2019'!R12:R21)," -")</f>
        <v>0.30000000000000004</v>
      </c>
      <c r="I8" s="199">
        <f>+AVERAGE('2016 - 2019'!S12:S21)</f>
        <v>0.57981481481481478</v>
      </c>
      <c r="J8" s="147">
        <f t="shared" ref="J8:J12" si="0">+I8</f>
        <v>0.57981481481481478</v>
      </c>
      <c r="K8" s="148">
        <f>+K9+K11</f>
        <v>3563640</v>
      </c>
      <c r="L8" s="149">
        <f t="shared" ref="L8:M8" si="1">+L9+L11</f>
        <v>3555640</v>
      </c>
      <c r="M8" s="149">
        <f t="shared" si="1"/>
        <v>0</v>
      </c>
      <c r="N8" s="150">
        <f t="shared" ref="N8:N12" si="2">IF(K8=0,"-",+L8/K8)</f>
        <v>0.99775510433152614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92" t="s">
        <v>38</v>
      </c>
      <c r="D9" s="293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0.5</v>
      </c>
      <c r="I9" s="200">
        <f>+AVERAGE('2016 - 2019'!S12:S15)</f>
        <v>0.56874999999999998</v>
      </c>
      <c r="J9" s="154">
        <f t="shared" si="0"/>
        <v>0.56874999999999998</v>
      </c>
      <c r="K9" s="155">
        <f>+K10</f>
        <v>21000</v>
      </c>
      <c r="L9" s="156">
        <f t="shared" ref="L9:M9" si="3">+L10</f>
        <v>13000</v>
      </c>
      <c r="M9" s="156">
        <f t="shared" si="3"/>
        <v>0</v>
      </c>
      <c r="N9" s="157">
        <f t="shared" si="2"/>
        <v>0.61904761904761907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85" t="s">
        <v>60</v>
      </c>
      <c r="D10" s="214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0.66666666666666663</v>
      </c>
      <c r="I10" s="201">
        <f>+AVERAGE('2016 - 2019'!S12:S15)</f>
        <v>0.56874999999999998</v>
      </c>
      <c r="J10" s="160">
        <f t="shared" si="0"/>
        <v>0.56874999999999998</v>
      </c>
      <c r="K10" s="161">
        <f>+SUM('2016 - 2019'!U12:U15)</f>
        <v>21000</v>
      </c>
      <c r="L10" s="18">
        <f>+SUM('2016 - 2019'!V12:V15)</f>
        <v>13000</v>
      </c>
      <c r="M10" s="18">
        <f>+SUM('2016 - 2019'!W12:W15)</f>
        <v>0</v>
      </c>
      <c r="N10" s="162">
        <f t="shared" si="2"/>
        <v>0.61904761904761907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83" t="s">
        <v>39</v>
      </c>
      <c r="D11" s="284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0.74083333333333323</v>
      </c>
      <c r="H11" s="164">
        <f>+IF(SUM('2016 - 2019'!J17:J21)&gt;0,AVERAGE('2016 - 2019'!R17:R21)," -")</f>
        <v>0.1</v>
      </c>
      <c r="I11" s="202">
        <f>+AVERAGE('2016 - 2019'!S17:S21)</f>
        <v>0.58866666666666667</v>
      </c>
      <c r="J11" s="165">
        <f t="shared" si="0"/>
        <v>0.58866666666666667</v>
      </c>
      <c r="K11" s="166">
        <f>+K12</f>
        <v>3542640</v>
      </c>
      <c r="L11" s="167">
        <f t="shared" ref="L11:M11" si="5">+L12</f>
        <v>3542640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300" t="s">
        <v>63</v>
      </c>
      <c r="D12" s="215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0.74083333333333323</v>
      </c>
      <c r="H12" s="190">
        <f>+IF(SUM('2016 - 2019'!J18:J22)&gt;0,AVERAGE('2016 - 2019'!R18:R22)," -")</f>
        <v>0.1</v>
      </c>
      <c r="I12" s="203">
        <f>+AVERAGE('2016 - 2019'!S17:S21)</f>
        <v>0.58866666666666667</v>
      </c>
      <c r="J12" s="170">
        <f t="shared" si="0"/>
        <v>0.58866666666666667</v>
      </c>
      <c r="K12" s="171">
        <f>+SUM('2016 - 2019'!U17:U21)</f>
        <v>3542640</v>
      </c>
      <c r="L12" s="24">
        <f>+SUM('2016 - 2019'!V17:V21)</f>
        <v>3542640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96" t="s">
        <v>64</v>
      </c>
      <c r="D13" s="297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1.39</v>
      </c>
      <c r="J13" s="176">
        <f t="shared" ref="J13:J16" si="6">+I13</f>
        <v>1.39</v>
      </c>
      <c r="K13" s="177">
        <f>+K14</f>
        <v>280000</v>
      </c>
      <c r="L13" s="178">
        <f t="shared" ref="L13:M14" si="7">+L14</f>
        <v>0</v>
      </c>
      <c r="M13" s="178">
        <f t="shared" si="7"/>
        <v>0</v>
      </c>
      <c r="N13" s="179">
        <f t="shared" ref="N13:N16" si="8">IF(K13=0,"-",+L13/K13)</f>
        <v>0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98" t="s">
        <v>42</v>
      </c>
      <c r="D14" s="299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1.39</v>
      </c>
      <c r="J14" s="174">
        <f t="shared" si="6"/>
        <v>1.39</v>
      </c>
      <c r="K14" s="155">
        <f>+K15</f>
        <v>280000</v>
      </c>
      <c r="L14" s="156">
        <f t="shared" si="7"/>
        <v>0</v>
      </c>
      <c r="M14" s="156">
        <f t="shared" si="7"/>
        <v>0</v>
      </c>
      <c r="N14" s="157">
        <f t="shared" si="8"/>
        <v>0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85" t="s">
        <v>67</v>
      </c>
      <c r="D15" s="214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1.39</v>
      </c>
      <c r="J15" s="160">
        <f t="shared" si="6"/>
        <v>1.39</v>
      </c>
      <c r="K15" s="196">
        <f>+'2016 - 2019'!U23</f>
        <v>280000</v>
      </c>
      <c r="L15" s="66">
        <f>+'2016 - 2019'!V23</f>
        <v>0</v>
      </c>
      <c r="M15" s="66">
        <f>+'2016 - 2019'!W23</f>
        <v>0</v>
      </c>
      <c r="N15" s="197">
        <f t="shared" si="8"/>
        <v>0</v>
      </c>
      <c r="O15" s="198" t="str">
        <f t="shared" si="9"/>
        <v xml:space="preserve"> -</v>
      </c>
    </row>
    <row r="16" spans="2:15" ht="24" customHeight="1" thickBot="1">
      <c r="C16" s="294" t="s">
        <v>68</v>
      </c>
      <c r="D16" s="295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0.62041666666666673</v>
      </c>
      <c r="H16" s="181">
        <f>+'2016 - 2019'!R24</f>
        <v>0.30000000000000004</v>
      </c>
      <c r="I16" s="182">
        <f>+'2016 - 2019'!S24</f>
        <v>0.66083333333333327</v>
      </c>
      <c r="J16" s="183">
        <f t="shared" si="6"/>
        <v>0.66083333333333327</v>
      </c>
      <c r="K16" s="89">
        <f>+K8+K13</f>
        <v>3843640</v>
      </c>
      <c r="L16" s="90">
        <f>+L8+L13</f>
        <v>3555640</v>
      </c>
      <c r="M16" s="90">
        <f>+M8+M13</f>
        <v>0</v>
      </c>
      <c r="N16" s="184">
        <f t="shared" si="8"/>
        <v>0.92507102642286998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209" t="s">
        <v>70</v>
      </c>
    </row>
    <row r="19" spans="3:9" ht="17">
      <c r="C19" s="206">
        <f>+'2016 - 2019'!C8</f>
        <v>43646</v>
      </c>
    </row>
  </sheetData>
  <mergeCells count="16">
    <mergeCell ref="C16:D16"/>
    <mergeCell ref="C15:D15"/>
    <mergeCell ref="C13:D13"/>
    <mergeCell ref="C14:D14"/>
    <mergeCell ref="C12:D12"/>
    <mergeCell ref="C11:D11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2019-07-09T20:40:24Z</dcterms:modified>
</cp:coreProperties>
</file>